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255" windowWidth="19200" windowHeight="12120" tabRatio="752" activeTab="0"/>
  </bookViews>
  <sheets>
    <sheet name="Crop Manure Nutrient Calculator" sheetId="1" r:id="rId1"/>
    <sheet name="Data" sheetId="2" r:id="rId2"/>
    <sheet name="Manure Mineral N Chart" sheetId="3" r:id="rId3"/>
    <sheet name="Manure Organic N Chart" sheetId="4" r:id="rId4"/>
    <sheet name="Manure v Crop Chart" sheetId="5" r:id="rId5"/>
    <sheet name="Fertilizer Value Chart" sheetId="6" r:id="rId6"/>
    <sheet name="Nutrient Balance Chart" sheetId="7" r:id="rId7"/>
  </sheets>
  <definedNames/>
  <calcPr fullCalcOnLoad="1"/>
</workbook>
</file>

<file path=xl/sharedStrings.xml><?xml version="1.0" encoding="utf-8"?>
<sst xmlns="http://schemas.openxmlformats.org/spreadsheetml/2006/main" count="212" uniqueCount="130">
  <si>
    <t>Manure Analysis</t>
  </si>
  <si>
    <t>Units</t>
  </si>
  <si>
    <t>Total N</t>
  </si>
  <si>
    <t>Ammonium-N</t>
  </si>
  <si>
    <t>%</t>
  </si>
  <si>
    <t>Past Manure Applications</t>
  </si>
  <si>
    <t>Applied last year</t>
  </si>
  <si>
    <t>Applied 2 years ago</t>
  </si>
  <si>
    <t>N Credit</t>
  </si>
  <si>
    <t>lbs/acre</t>
  </si>
  <si>
    <t>Current Manure Application</t>
  </si>
  <si>
    <t>Application Method &amp; Timing</t>
  </si>
  <si>
    <t>Total Solids</t>
  </si>
  <si>
    <t>Application methods and timings</t>
  </si>
  <si>
    <t>Injected as sidedress on row crops</t>
  </si>
  <si>
    <t>Spring incorporated within 1 day</t>
  </si>
  <si>
    <t>Spring incorporated within 2 days</t>
  </si>
  <si>
    <t>Spring incorporated within 3 days</t>
  </si>
  <si>
    <t>Spring incorporated within 4 days</t>
  </si>
  <si>
    <t>Spring incorporated within 5 days</t>
  </si>
  <si>
    <t>Topdressed or incorporated after 5 days</t>
  </si>
  <si>
    <t>Fall incorporated or injected</t>
  </si>
  <si>
    <t>Organic-N</t>
  </si>
  <si>
    <t>Total N available from current application</t>
  </si>
  <si>
    <t>Total N available from past applications</t>
  </si>
  <si>
    <t>Ammonium-N credit</t>
  </si>
  <si>
    <t>Organic-N credit</t>
  </si>
  <si>
    <t>Animal Species</t>
  </si>
  <si>
    <t>Cows</t>
  </si>
  <si>
    <t>Poultry</t>
  </si>
  <si>
    <t>Swine</t>
  </si>
  <si>
    <t>Horses</t>
  </si>
  <si>
    <t>Sheep</t>
  </si>
  <si>
    <t>&lt;18</t>
  </si>
  <si>
    <t>Crop Nutrient Requirements</t>
  </si>
  <si>
    <t>N</t>
  </si>
  <si>
    <t>Nutrient Balance</t>
  </si>
  <si>
    <t>lbs/gallon</t>
  </si>
  <si>
    <t>Density</t>
  </si>
  <si>
    <t>% and tons</t>
  </si>
  <si>
    <t>% and gallons</t>
  </si>
  <si>
    <t>lbs/ton and tons</t>
  </si>
  <si>
    <t>lbs/ton and gallons</t>
  </si>
  <si>
    <t>lbs/1000 gallons and tons</t>
  </si>
  <si>
    <t>lbs/1000 gallons and gallons</t>
  </si>
  <si>
    <t>Last year's N credit</t>
  </si>
  <si>
    <t>Two year's N credit</t>
  </si>
  <si>
    <t>N Decay (%)</t>
  </si>
  <si>
    <t>Last Year</t>
  </si>
  <si>
    <t>Two Year's Ago</t>
  </si>
  <si>
    <r>
      <t>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</si>
  <si>
    <r>
      <t>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</si>
  <si>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t>Current NH4-N Credit</t>
  </si>
  <si>
    <t>&gt;=18</t>
  </si>
  <si>
    <t>Current N-Org Credit</t>
  </si>
  <si>
    <t>P2O5 Credit</t>
  </si>
  <si>
    <t>K2O Credit</t>
  </si>
  <si>
    <t>Nutrient Credit</t>
  </si>
  <si>
    <t>Poultry (&lt;18%DM)</t>
  </si>
  <si>
    <t>Cows (&lt;18%DM)</t>
  </si>
  <si>
    <t>Swine (&lt;18%DM)</t>
  </si>
  <si>
    <t>Horses (&lt;18%DM)</t>
  </si>
  <si>
    <t>Sheep (&lt;18%DM)</t>
  </si>
  <si>
    <t>Cows (≥18%DM)</t>
  </si>
  <si>
    <t>Poultry (≥18%DM)</t>
  </si>
  <si>
    <t>Swine (≥18%DM)</t>
  </si>
  <si>
    <t>Horses (≥18%DM)</t>
  </si>
  <si>
    <t>Sheep (≥18%DM)</t>
  </si>
  <si>
    <t>% Ammonium-N Available</t>
  </si>
  <si>
    <t>Application Rate</t>
  </si>
  <si>
    <t>PAST APPLICATION INFO</t>
  </si>
  <si>
    <t>N Credit Calculations</t>
  </si>
  <si>
    <t>N Credit (lbs/acre)</t>
  </si>
  <si>
    <t>CURRENT APPLICATION INFO</t>
  </si>
  <si>
    <t>Ammonium-N coefficients for calculations and chart</t>
  </si>
  <si>
    <t>Nutrient Credits</t>
  </si>
  <si>
    <t>Total current N credit</t>
  </si>
  <si>
    <t>Organic-N Coefficients for chart</t>
  </si>
  <si>
    <t>CROP NUTRIENT REQUIREMENTS</t>
  </si>
  <si>
    <t>P2O5</t>
  </si>
  <si>
    <t>K2O</t>
  </si>
  <si>
    <t>lbs/ton</t>
  </si>
  <si>
    <t>Organic-N Coefficients for calculations</t>
  </si>
  <si>
    <t>NUTRIENT BALANCES</t>
  </si>
  <si>
    <t>Current Year  (%)</t>
  </si>
  <si>
    <t>1 Year Ago (%)</t>
  </si>
  <si>
    <t>2 Years Ago (%)</t>
  </si>
  <si>
    <t>Current Year (%)</t>
  </si>
  <si>
    <t>Data for Nutrient Balance Chart</t>
  </si>
  <si>
    <t>Current NH4-N</t>
  </si>
  <si>
    <t>Current N-Organic</t>
  </si>
  <si>
    <t>Crop N Requirement</t>
  </si>
  <si>
    <t>Crop P2O5 Requirement</t>
  </si>
  <si>
    <t>Crop K2O Requirement</t>
  </si>
  <si>
    <t>Manure N Supplied</t>
  </si>
  <si>
    <t>Manure P2O5 Supplied</t>
  </si>
  <si>
    <t>Manure K2O Supplied</t>
  </si>
  <si>
    <t>tons</t>
  </si>
  <si>
    <t xml:space="preserve">v1.2 October 2005 </t>
  </si>
  <si>
    <t>$/lb</t>
  </si>
  <si>
    <t>Total Value</t>
  </si>
  <si>
    <t>N from Last Year's Application</t>
  </si>
  <si>
    <t>N from Application 2 Year's Ago</t>
  </si>
  <si>
    <t>Total N from Past Applications</t>
  </si>
  <si>
    <t>ECONOMIC VALUE OF MANURE</t>
  </si>
  <si>
    <t>Ammonium N from Current Application</t>
  </si>
  <si>
    <t>Organic N from Current Application</t>
  </si>
  <si>
    <t>Total N from Current Application</t>
  </si>
  <si>
    <t>Total P2O5 from Current Application</t>
  </si>
  <si>
    <t>Total K2O from Current Application</t>
  </si>
  <si>
    <t>Total Value of Manure</t>
  </si>
  <si>
    <t>Data for Economic Value Chart</t>
  </si>
  <si>
    <t>Value of Manure P2O5</t>
  </si>
  <si>
    <t>Value of Manure K2O</t>
  </si>
  <si>
    <t>Value of Manure N</t>
  </si>
  <si>
    <t>Past</t>
  </si>
  <si>
    <t>Current Organic N</t>
  </si>
  <si>
    <t>Past Applications</t>
  </si>
  <si>
    <t>Current Applications</t>
  </si>
  <si>
    <t>GL Albrecht, QM Ketterings, and KJ Czymmek</t>
  </si>
  <si>
    <t>/lb</t>
  </si>
  <si>
    <t>/acre</t>
  </si>
  <si>
    <t>Fertilizer Value of Manure</t>
  </si>
  <si>
    <t>Crop available nutrients from manure - current year</t>
  </si>
  <si>
    <r>
      <t>Total P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O</t>
    </r>
    <r>
      <rPr>
        <b/>
        <vertAlign val="subscript"/>
        <sz val="11"/>
        <color indexed="12"/>
        <rFont val="Arial"/>
        <family val="2"/>
      </rPr>
      <t>5</t>
    </r>
    <r>
      <rPr>
        <b/>
        <sz val="11"/>
        <color indexed="12"/>
        <rFont val="Arial"/>
        <family val="2"/>
      </rPr>
      <t xml:space="preserve"> from current application</t>
    </r>
  </si>
  <si>
    <r>
      <t>Total K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O from current application</t>
    </r>
  </si>
  <si>
    <r>
      <t>P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O</t>
    </r>
    <r>
      <rPr>
        <b/>
        <vertAlign val="subscript"/>
        <sz val="10"/>
        <color indexed="9"/>
        <rFont val="Arial"/>
        <family val="2"/>
      </rPr>
      <t>5</t>
    </r>
  </si>
  <si>
    <r>
      <t>K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O</t>
    </r>
  </si>
  <si>
    <t>Cost per pound of nutrient</t>
  </si>
  <si>
    <r>
      <t xml:space="preserve">Note: </t>
    </r>
    <r>
      <rPr>
        <sz val="10"/>
        <rFont val="Arial"/>
        <family val="2"/>
      </rPr>
      <t>the actual value of manure nutrients, calculated below, depends on the cost of application and the need for N,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and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by the crop.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</si>
</sst>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vertAlign val="subscript"/>
      <sz val="11"/>
      <name val="Arial"/>
      <family val="2"/>
    </font>
    <font>
      <b/>
      <sz val="16"/>
      <name val="Arial"/>
      <family val="2"/>
    </font>
    <font>
      <sz val="10"/>
      <color indexed="9"/>
      <name val="Arial"/>
      <family val="0"/>
    </font>
    <font>
      <b/>
      <sz val="12.75"/>
      <name val="Arial"/>
      <family val="2"/>
    </font>
    <font>
      <sz val="9"/>
      <name val="Arial"/>
      <family val="0"/>
    </font>
    <font>
      <sz val="8.25"/>
      <name val="Arial"/>
      <family val="2"/>
    </font>
    <font>
      <sz val="14"/>
      <name val="Arial"/>
      <family val="2"/>
    </font>
    <font>
      <b/>
      <sz val="13.75"/>
      <name val="Arial"/>
      <family val="2"/>
    </font>
    <font>
      <b/>
      <vertAlign val="subscript"/>
      <sz val="13.75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2"/>
      <color indexed="48"/>
      <name val="Arial"/>
      <family val="0"/>
    </font>
    <font>
      <b/>
      <sz val="11"/>
      <color indexed="12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vertAlign val="subscript"/>
      <sz val="11"/>
      <color indexed="12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right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1" fontId="10" fillId="2" borderId="6" xfId="0" applyNumberFormat="1" applyFont="1" applyFill="1" applyBorder="1" applyAlignment="1" applyProtection="1">
      <alignment horizontal="center" vertical="center"/>
      <protection hidden="1"/>
    </xf>
    <xf numFmtId="1" fontId="11" fillId="2" borderId="6" xfId="0" applyNumberFormat="1" applyFont="1" applyFill="1" applyBorder="1" applyAlignment="1" applyProtection="1">
      <alignment horizontal="center" vertical="center"/>
      <protection hidden="1"/>
    </xf>
    <xf numFmtId="1" fontId="12" fillId="2" borderId="6" xfId="0" applyNumberFormat="1" applyFont="1" applyFill="1" applyBorder="1" applyAlignment="1" applyProtection="1">
      <alignment horizontal="center" vertical="center"/>
      <protection hidden="1"/>
    </xf>
    <xf numFmtId="1" fontId="10" fillId="3" borderId="12" xfId="0" applyNumberFormat="1" applyFont="1" applyFill="1" applyBorder="1" applyAlignment="1" applyProtection="1">
      <alignment horizontal="center" vertical="center"/>
      <protection hidden="1"/>
    </xf>
    <xf numFmtId="1" fontId="10" fillId="3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vertical="center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23" fillId="5" borderId="16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10" fillId="2" borderId="4" xfId="0" applyFont="1" applyFill="1" applyBorder="1" applyAlignment="1" applyProtection="1">
      <alignment vertical="center"/>
      <protection hidden="1"/>
    </xf>
    <xf numFmtId="0" fontId="12" fillId="2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horizontal="right" vertical="center"/>
      <protection hidden="1"/>
    </xf>
    <xf numFmtId="0" fontId="10" fillId="2" borderId="5" xfId="0" applyFont="1" applyFill="1" applyBorder="1" applyAlignment="1" applyProtection="1">
      <alignment vertical="center"/>
      <protection hidden="1"/>
    </xf>
    <xf numFmtId="0" fontId="12" fillId="2" borderId="5" xfId="0" applyFont="1" applyFill="1" applyBorder="1" applyAlignment="1" applyProtection="1">
      <alignment vertical="center"/>
      <protection hidden="1"/>
    </xf>
    <xf numFmtId="0" fontId="8" fillId="2" borderId="5" xfId="0" applyFont="1" applyFill="1" applyBorder="1" applyAlignment="1" applyProtection="1">
      <alignment vertical="center"/>
      <protection hidden="1"/>
    </xf>
    <xf numFmtId="0" fontId="11" fillId="2" borderId="5" xfId="0" applyFont="1" applyFill="1" applyBorder="1" applyAlignment="1" applyProtection="1">
      <alignment vertical="center"/>
      <protection hidden="1"/>
    </xf>
    <xf numFmtId="44" fontId="10" fillId="3" borderId="12" xfId="17" applyFont="1" applyFill="1" applyBorder="1" applyAlignment="1" applyProtection="1">
      <alignment horizontal="center" vertical="center"/>
      <protection hidden="1"/>
    </xf>
    <xf numFmtId="44" fontId="8" fillId="2" borderId="0" xfId="17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6" fillId="2" borderId="0" xfId="0" applyFont="1" applyFill="1" applyBorder="1" applyAlignment="1" applyProtection="1">
      <alignment horizontal="right" vertical="center"/>
      <protection hidden="1"/>
    </xf>
    <xf numFmtId="1" fontId="26" fillId="3" borderId="12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44" fontId="26" fillId="3" borderId="12" xfId="17" applyFont="1" applyFill="1" applyBorder="1" applyAlignment="1" applyProtection="1">
      <alignment horizontal="center" vertical="center"/>
      <protection hidden="1"/>
    </xf>
    <xf numFmtId="0" fontId="26" fillId="2" borderId="5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Alignment="1">
      <alignment horizontal="left" vertical="center"/>
    </xf>
    <xf numFmtId="44" fontId="26" fillId="2" borderId="0" xfId="17" applyFont="1" applyFill="1" applyBorder="1" applyAlignment="1" applyProtection="1">
      <alignment horizontal="center" vertical="center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vertical="center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44" fontId="10" fillId="4" borderId="12" xfId="17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0" fontId="30" fillId="0" borderId="0" xfId="0" applyFont="1" applyAlignment="1">
      <alignment/>
    </xf>
    <xf numFmtId="0" fontId="16" fillId="0" borderId="0" xfId="0" applyFont="1" applyAlignment="1">
      <alignment/>
    </xf>
    <xf numFmtId="1" fontId="16" fillId="0" borderId="0" xfId="0" applyNumberFormat="1" applyFont="1" applyFill="1" applyAlignment="1">
      <alignment/>
    </xf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30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right" vertical="top" wrapText="1"/>
    </xf>
    <xf numFmtId="1" fontId="16" fillId="0" borderId="0" xfId="0" applyNumberFormat="1" applyFont="1" applyFill="1" applyAlignment="1">
      <alignment horizontal="right" vertical="top"/>
    </xf>
    <xf numFmtId="1" fontId="16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21" applyNumberFormat="1" applyFont="1" applyAlignment="1">
      <alignment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4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1" fontId="30" fillId="0" borderId="0" xfId="0" applyNumberFormat="1" applyFont="1" applyFill="1" applyAlignment="1">
      <alignment horizontal="right"/>
    </xf>
    <xf numFmtId="44" fontId="16" fillId="0" borderId="0" xfId="17" applyFont="1" applyAlignment="1">
      <alignment/>
    </xf>
    <xf numFmtId="44" fontId="30" fillId="0" borderId="0" xfId="0" applyNumberFormat="1" applyFont="1" applyAlignment="1">
      <alignment horizontal="center"/>
    </xf>
    <xf numFmtId="44" fontId="30" fillId="0" borderId="0" xfId="0" applyNumberFormat="1" applyFont="1" applyAlignment="1">
      <alignment horizontal="right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 applyProtection="1">
      <alignment horizontal="left" vertical="center" wrapText="1"/>
      <protection hidden="1"/>
    </xf>
    <xf numFmtId="0" fontId="28" fillId="2" borderId="5" xfId="0" applyFont="1" applyFill="1" applyBorder="1" applyAlignment="1" applyProtection="1">
      <alignment horizontal="left" vertical="center" wrapText="1"/>
      <protection hidden="1"/>
    </xf>
    <xf numFmtId="0" fontId="28" fillId="2" borderId="4" xfId="0" applyFont="1" applyFill="1" applyBorder="1" applyAlignment="1" applyProtection="1">
      <alignment horizontal="left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Manure Application Method and Timing: 
Effect on Ammonium-Nitrogen Availability from Manure</a:t>
            </a:r>
          </a:p>
        </c:rich>
      </c:tx>
      <c:layout>
        <c:manualLayout>
          <c:xMode val="factor"/>
          <c:yMode val="factor"/>
          <c:x val="0.007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1425"/>
          <c:w val="0.921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Application methods and timings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Data!$A$20:$A$27</c:f>
              <c:strCache>
                <c:ptCount val="8"/>
                <c:pt idx="0">
                  <c:v>Injected as sidedress on row crops</c:v>
                </c:pt>
                <c:pt idx="1">
                  <c:v>Spring incorporated within 1 day</c:v>
                </c:pt>
                <c:pt idx="2">
                  <c:v>Spring incorporated within 2 days</c:v>
                </c:pt>
                <c:pt idx="3">
                  <c:v>Spring incorporated within 3 days</c:v>
                </c:pt>
                <c:pt idx="4">
                  <c:v>Spring incorporated within 4 days</c:v>
                </c:pt>
                <c:pt idx="5">
                  <c:v>Spring incorporated within 5 days</c:v>
                </c:pt>
                <c:pt idx="6">
                  <c:v>Topdressed or incorporated after 5 days</c:v>
                </c:pt>
                <c:pt idx="7">
                  <c:v>Fall incorporated or injected</c:v>
                </c:pt>
              </c:strCache>
            </c:strRef>
          </c:cat>
          <c:val>
            <c:numRef>
              <c:f>Data!$B$20:$B$27</c:f>
              <c:numCache>
                <c:ptCount val="8"/>
                <c:pt idx="0">
                  <c:v>100</c:v>
                </c:pt>
                <c:pt idx="1">
                  <c:v>65</c:v>
                </c:pt>
                <c:pt idx="2">
                  <c:v>53</c:v>
                </c:pt>
                <c:pt idx="3">
                  <c:v>41</c:v>
                </c:pt>
                <c:pt idx="4">
                  <c:v>29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Manure Application Method and Timing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54316"/>
        <c:crosses val="autoZero"/>
        <c:auto val="1"/>
        <c:lblOffset val="100"/>
        <c:noMultiLvlLbl val="0"/>
      </c:catAx>
      <c:valAx>
        <c:axId val="629543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Manure Ammonium-N 
Utilized by the Crop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90707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Crop Available Organic-Nitrogen from Manure Applications </a:t>
            </a:r>
          </a:p>
        </c:rich>
      </c:tx>
      <c:layout>
        <c:manualLayout>
          <c:xMode val="factor"/>
          <c:yMode val="factor"/>
          <c:x val="0.009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8"/>
          <c:w val="0.84475"/>
          <c:h val="0.824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Data!$B$83</c:f>
              <c:strCache>
                <c:ptCount val="1"/>
                <c:pt idx="0">
                  <c:v>Current Year 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Data!$A$84:$A$93</c:f>
              <c:strCache>
                <c:ptCount val="10"/>
                <c:pt idx="0">
                  <c:v>Cows (&lt;18%DM)</c:v>
                </c:pt>
                <c:pt idx="1">
                  <c:v>Cows (≥18%DM)</c:v>
                </c:pt>
                <c:pt idx="2">
                  <c:v>Poultry (&lt;18%DM)</c:v>
                </c:pt>
                <c:pt idx="3">
                  <c:v>Poultry (≥18%DM)</c:v>
                </c:pt>
                <c:pt idx="4">
                  <c:v>Swine (&lt;18%DM)</c:v>
                </c:pt>
                <c:pt idx="5">
                  <c:v>Swine (≥18%DM)</c:v>
                </c:pt>
                <c:pt idx="6">
                  <c:v>Horses (&lt;18%DM)</c:v>
                </c:pt>
                <c:pt idx="7">
                  <c:v>Horses (≥18%DM)</c:v>
                </c:pt>
                <c:pt idx="8">
                  <c:v>Sheep (&lt;18%DM)</c:v>
                </c:pt>
                <c:pt idx="9">
                  <c:v>Sheep (≥18%DM)</c:v>
                </c:pt>
              </c:strCache>
            </c:strRef>
          </c:cat>
          <c:val>
            <c:numRef>
              <c:f>Data!$B$84:$B$93</c:f>
              <c:numCache>
                <c:ptCount val="10"/>
                <c:pt idx="0">
                  <c:v>35</c:v>
                </c:pt>
                <c:pt idx="1">
                  <c:v>25</c:v>
                </c:pt>
                <c:pt idx="2">
                  <c:v>55</c:v>
                </c:pt>
                <c:pt idx="3">
                  <c:v>55</c:v>
                </c:pt>
                <c:pt idx="4">
                  <c:v>35</c:v>
                </c:pt>
                <c:pt idx="5">
                  <c:v>25</c:v>
                </c:pt>
                <c:pt idx="6">
                  <c:v>30</c:v>
                </c:pt>
                <c:pt idx="7">
                  <c:v>25</c:v>
                </c:pt>
                <c:pt idx="8">
                  <c:v>35</c:v>
                </c:pt>
                <c:pt idx="9">
                  <c:v>25</c:v>
                </c:pt>
              </c:numCache>
            </c:numRef>
          </c:val>
        </c:ser>
        <c:ser>
          <c:idx val="0"/>
          <c:order val="1"/>
          <c:tx>
            <c:strRef>
              <c:f>Data!$C$83</c:f>
              <c:strCache>
                <c:ptCount val="1"/>
                <c:pt idx="0">
                  <c:v>1 Year Ago (%)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Data!$A$84:$A$93</c:f>
              <c:strCache>
                <c:ptCount val="10"/>
                <c:pt idx="0">
                  <c:v>Cows (&lt;18%DM)</c:v>
                </c:pt>
                <c:pt idx="1">
                  <c:v>Cows (≥18%DM)</c:v>
                </c:pt>
                <c:pt idx="2">
                  <c:v>Poultry (&lt;18%DM)</c:v>
                </c:pt>
                <c:pt idx="3">
                  <c:v>Poultry (≥18%DM)</c:v>
                </c:pt>
                <c:pt idx="4">
                  <c:v>Swine (&lt;18%DM)</c:v>
                </c:pt>
                <c:pt idx="5">
                  <c:v>Swine (≥18%DM)</c:v>
                </c:pt>
                <c:pt idx="6">
                  <c:v>Horses (&lt;18%DM)</c:v>
                </c:pt>
                <c:pt idx="7">
                  <c:v>Horses (≥18%DM)</c:v>
                </c:pt>
                <c:pt idx="8">
                  <c:v>Sheep (&lt;18%DM)</c:v>
                </c:pt>
                <c:pt idx="9">
                  <c:v>Sheep (≥18%DM)</c:v>
                </c:pt>
              </c:strCache>
            </c:strRef>
          </c:cat>
          <c:val>
            <c:numRef>
              <c:f>Data!$C$84:$C$93</c:f>
              <c:numCache>
                <c:ptCount val="1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</c:ser>
        <c:ser>
          <c:idx val="1"/>
          <c:order val="2"/>
          <c:tx>
            <c:strRef>
              <c:f>Data!$D$83</c:f>
              <c:strCache>
                <c:ptCount val="1"/>
                <c:pt idx="0">
                  <c:v>2 Years Ago (%)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Data!$A$84:$A$93</c:f>
              <c:strCache>
                <c:ptCount val="10"/>
                <c:pt idx="0">
                  <c:v>Cows (&lt;18%DM)</c:v>
                </c:pt>
                <c:pt idx="1">
                  <c:v>Cows (≥18%DM)</c:v>
                </c:pt>
                <c:pt idx="2">
                  <c:v>Poultry (&lt;18%DM)</c:v>
                </c:pt>
                <c:pt idx="3">
                  <c:v>Poultry (≥18%DM)</c:v>
                </c:pt>
                <c:pt idx="4">
                  <c:v>Swine (&lt;18%DM)</c:v>
                </c:pt>
                <c:pt idx="5">
                  <c:v>Swine (≥18%DM)</c:v>
                </c:pt>
                <c:pt idx="6">
                  <c:v>Horses (&lt;18%DM)</c:v>
                </c:pt>
                <c:pt idx="7">
                  <c:v>Horses (≥18%DM)</c:v>
                </c:pt>
                <c:pt idx="8">
                  <c:v>Sheep (&lt;18%DM)</c:v>
                </c:pt>
                <c:pt idx="9">
                  <c:v>Sheep (≥18%DM)</c:v>
                </c:pt>
              </c:strCache>
            </c:strRef>
          </c:cat>
          <c:val>
            <c:numRef>
              <c:f>Data!$D$84:$D$93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overlap val="100"/>
        <c:axId val="29717933"/>
        <c:axId val="66134806"/>
      </c:barChart>
      <c:catAx>
        <c:axId val="29717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Animal Species and Manure Dry Matter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34806"/>
        <c:crosses val="autoZero"/>
        <c:auto val="1"/>
        <c:lblOffset val="100"/>
        <c:noMultiLvlLbl val="0"/>
      </c:catAx>
      <c:valAx>
        <c:axId val="6613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Crop Available Organic-N from Manure                      
(% of Manure Organic-N)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1793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3145"/>
          <c:w val="0.14575"/>
          <c:h val="0.1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Manure Nutrient Credits and Crop Nutrient Requirements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025"/>
          <c:w val="0.865"/>
          <c:h val="0.881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wd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pattFill prst="wdDnDiag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Past 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Data!$D$97:$D$102</c:f>
              <c:strCache>
                <c:ptCount val="6"/>
                <c:pt idx="0">
                  <c:v>Manure N Supplied</c:v>
                </c:pt>
                <c:pt idx="1">
                  <c:v>Crop N Requirement</c:v>
                </c:pt>
                <c:pt idx="2">
                  <c:v>Manure P2O5 Supplied</c:v>
                </c:pt>
                <c:pt idx="3">
                  <c:v>Crop P2O5 Requirement</c:v>
                </c:pt>
                <c:pt idx="4">
                  <c:v>Manure K2O Supplied</c:v>
                </c:pt>
                <c:pt idx="5">
                  <c:v>Crop K2O Requirement</c:v>
                </c:pt>
              </c:strCache>
            </c:strRef>
          </c:cat>
          <c:val>
            <c:numRef>
              <c:f>Data!$E$97:$E$102</c:f>
              <c:numCache>
                <c:ptCount val="6"/>
                <c:pt idx="0">
                  <c:v>18</c:v>
                </c:pt>
                <c:pt idx="1">
                  <c:v>90</c:v>
                </c:pt>
                <c:pt idx="2">
                  <c:v>60</c:v>
                </c:pt>
                <c:pt idx="3">
                  <c:v>20</c:v>
                </c:pt>
                <c:pt idx="4">
                  <c:v>69</c:v>
                </c:pt>
                <c:pt idx="5">
                  <c:v>45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Current
NH4-N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Data!$F$97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Current
Organic 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Data!$G$97</c:f>
              <c:numCache>
                <c:ptCount val="1"/>
                <c:pt idx="0">
                  <c:v>30</c:v>
                </c:pt>
              </c:numCache>
            </c:numRef>
          </c:val>
        </c:ser>
        <c:overlap val="100"/>
        <c:axId val="58342343"/>
        <c:axId val="55319040"/>
      </c:bar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19040"/>
        <c:crosses val="autoZero"/>
        <c:auto val="1"/>
        <c:lblOffset val="100"/>
        <c:noMultiLvlLbl val="0"/>
      </c:catAx>
      <c:valAx>
        <c:axId val="55319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Nutrients (lbs/acre)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42343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Fertilizer Value of Manure Nutrients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025"/>
          <c:w val="0.86525"/>
          <c:h val="0.881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96969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Past N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elete val="1"/>
          </c:dLbls>
          <c:cat>
            <c:strRef>
              <c:f>Data!$D$108:$D$110</c:f>
              <c:strCache>
                <c:ptCount val="3"/>
                <c:pt idx="0">
                  <c:v>Value of Manure N</c:v>
                </c:pt>
                <c:pt idx="1">
                  <c:v>Value of Manure P2O5</c:v>
                </c:pt>
                <c:pt idx="2">
                  <c:v>Value of Manure K2O</c:v>
                </c:pt>
              </c:strCache>
            </c:strRef>
          </c:cat>
          <c:val>
            <c:numRef>
              <c:f>Data!$E$108:$E$110</c:f>
              <c:numCache>
                <c:ptCount val="3"/>
                <c:pt idx="0">
                  <c:v>7</c:v>
                </c:pt>
                <c:pt idx="1">
                  <c:v>16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Current
NH4-N 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Data!$D$108:$D$110</c:f>
              <c:strCache>
                <c:ptCount val="3"/>
                <c:pt idx="0">
                  <c:v>Value of Manure N</c:v>
                </c:pt>
                <c:pt idx="1">
                  <c:v>Value of Manure P2O5</c:v>
                </c:pt>
                <c:pt idx="2">
                  <c:v>Value of Manure K2O</c:v>
                </c:pt>
              </c:strCache>
            </c:strRef>
          </c:cat>
          <c:val>
            <c:numRef>
              <c:f>Data!$F$108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Current
Organic N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elete val="1"/>
          </c:dLbls>
          <c:cat>
            <c:strRef>
              <c:f>Data!$D$108:$D$110</c:f>
              <c:strCache>
                <c:ptCount val="3"/>
                <c:pt idx="0">
                  <c:v>Value of Manure N</c:v>
                </c:pt>
                <c:pt idx="1">
                  <c:v>Value of Manure P2O5</c:v>
                </c:pt>
                <c:pt idx="2">
                  <c:v>Value of Manure K2O</c:v>
                </c:pt>
              </c:strCache>
            </c:strRef>
          </c:cat>
          <c:val>
            <c:numRef>
              <c:f>Data!$G$108</c:f>
              <c:numCache>
                <c:ptCount val="1"/>
                <c:pt idx="0">
                  <c:v>12</c:v>
                </c:pt>
              </c:numCache>
            </c:numRef>
          </c:val>
        </c:ser>
        <c:overlap val="100"/>
        <c:axId val="28109313"/>
        <c:axId val="51657226"/>
      </c:bar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57226"/>
        <c:crosses val="autoZero"/>
        <c:auto val="1"/>
        <c:lblOffset val="100"/>
        <c:noMultiLvlLbl val="0"/>
      </c:catAx>
      <c:valAx>
        <c:axId val="5165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Fertilizer Value of Manure Nutrients per Acre ($/acre)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8109313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Nutrient Balance = Manure Nutrient Supply - Crop Nutrient Requirement 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775"/>
          <c:w val="0.862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Data!$A$100</c:f>
              <c:strCache>
                <c:ptCount val="1"/>
                <c:pt idx="0">
                  <c:v>NUTRIENT BALANCES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1" i="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375" b="1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375" b="1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  <a:r>
                      <a:rPr lang="en-US" cap="none" sz="1375" b="1" i="0" u="none" baseline="-25000"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1" i="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sz="1375" b="1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375" b="1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Data!$A$101:$A$103</c:f>
              <c:strCache>
                <c:ptCount val="3"/>
                <c:pt idx="0">
                  <c:v>N</c:v>
                </c:pt>
                <c:pt idx="1">
                  <c:v>P2O5</c:v>
                </c:pt>
                <c:pt idx="2">
                  <c:v>K2O</c:v>
                </c:pt>
              </c:strCache>
            </c:strRef>
          </c:cat>
          <c:val>
            <c:numRef>
              <c:f>Data!$B$101:$B$103</c:f>
              <c:numCache>
                <c:ptCount val="3"/>
                <c:pt idx="0">
                  <c:v>-19</c:v>
                </c:pt>
                <c:pt idx="1">
                  <c:v>40</c:v>
                </c:pt>
                <c:pt idx="2">
                  <c:v>24</c:v>
                </c:pt>
              </c:numCache>
            </c:numRef>
          </c:val>
        </c:ser>
        <c:overlap val="100"/>
        <c:gapWidth val="30"/>
        <c:axId val="62261851"/>
        <c:axId val="23485748"/>
      </c:barChart>
      <c:catAx>
        <c:axId val="6226185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485748"/>
        <c:crosses val="autoZero"/>
        <c:auto val="1"/>
        <c:lblOffset val="100"/>
        <c:noMultiLvlLbl val="0"/>
      </c:catAx>
      <c:valAx>
        <c:axId val="23485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Nutrient Balances (lbs/acre)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61851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1" name="ComboBox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O68"/>
  <sheetViews>
    <sheetView showGridLines="0" showRowColHeaders="0" tabSelected="1" workbookViewId="0" topLeftCell="A1">
      <selection activeCell="D4" sqref="D4"/>
    </sheetView>
  </sheetViews>
  <sheetFormatPr defaultColWidth="9.140625" defaultRowHeight="12.75"/>
  <cols>
    <col min="1" max="1" width="1.421875" style="0" customWidth="1"/>
    <col min="2" max="2" width="2.7109375" style="0" customWidth="1"/>
    <col min="3" max="3" width="33.28125" style="3" customWidth="1"/>
    <col min="4" max="4" width="26.57421875" style="0" customWidth="1"/>
    <col min="5" max="5" width="19.140625" style="4" customWidth="1"/>
    <col min="6" max="6" width="10.140625" style="0" customWidth="1"/>
    <col min="7" max="7" width="8.7109375" style="0" customWidth="1"/>
    <col min="8" max="8" width="7.28125" style="0" customWidth="1"/>
    <col min="9" max="9" width="6.00390625" style="0" customWidth="1"/>
    <col min="10" max="10" width="11.421875" style="0" customWidth="1"/>
    <col min="11" max="11" width="4.8515625" style="0" customWidth="1"/>
    <col min="12" max="12" width="3.140625" style="0" customWidth="1"/>
  </cols>
  <sheetData>
    <row r="1" ht="7.5" customHeight="1"/>
    <row r="2" spans="2:12" ht="15.75" customHeight="1">
      <c r="B2" s="57" t="s">
        <v>123</v>
      </c>
      <c r="C2" s="55"/>
      <c r="D2" s="55"/>
      <c r="E2" s="58" t="s">
        <v>98</v>
      </c>
      <c r="F2" s="58" t="s">
        <v>119</v>
      </c>
      <c r="G2" s="55"/>
      <c r="H2" s="55"/>
      <c r="I2" s="55"/>
      <c r="J2" s="55"/>
      <c r="K2" s="55"/>
      <c r="L2" s="56"/>
    </row>
    <row r="3" spans="2:12" s="1" customFormat="1" ht="16.5" customHeight="1">
      <c r="B3" s="5" t="s">
        <v>0</v>
      </c>
      <c r="C3" s="6"/>
      <c r="D3" s="7"/>
      <c r="E3" s="8"/>
      <c r="F3" s="7"/>
      <c r="G3" s="7"/>
      <c r="H3" s="5" t="s">
        <v>122</v>
      </c>
      <c r="I3" s="7"/>
      <c r="J3" s="7"/>
      <c r="K3" s="7"/>
      <c r="L3" s="9"/>
    </row>
    <row r="4" spans="2:12" s="1" customFormat="1" ht="13.5" customHeight="1">
      <c r="B4" s="10"/>
      <c r="C4" s="11" t="s">
        <v>27</v>
      </c>
      <c r="D4" s="81" t="s">
        <v>28</v>
      </c>
      <c r="E4" s="13"/>
      <c r="F4" s="12"/>
      <c r="G4" s="12"/>
      <c r="H4" s="63"/>
      <c r="I4" s="13"/>
      <c r="J4" s="15"/>
      <c r="K4" s="12"/>
      <c r="L4" s="14"/>
    </row>
    <row r="5" spans="2:12" s="1" customFormat="1" ht="2.25" customHeight="1">
      <c r="B5" s="10"/>
      <c r="C5" s="11"/>
      <c r="D5" s="12"/>
      <c r="E5" s="13"/>
      <c r="F5" s="12"/>
      <c r="G5" s="12"/>
      <c r="H5" s="10"/>
      <c r="I5" s="12"/>
      <c r="J5" s="12"/>
      <c r="K5" s="12"/>
      <c r="L5" s="14"/>
    </row>
    <row r="6" spans="2:12" s="1" customFormat="1" ht="13.5" customHeight="1">
      <c r="B6" s="10"/>
      <c r="C6" s="11" t="s">
        <v>1</v>
      </c>
      <c r="D6" s="81" t="s">
        <v>81</v>
      </c>
      <c r="E6" s="13"/>
      <c r="F6" s="12"/>
      <c r="G6" s="12"/>
      <c r="H6" s="76" t="s">
        <v>128</v>
      </c>
      <c r="I6" s="77"/>
      <c r="J6" s="53"/>
      <c r="K6" s="53"/>
      <c r="L6" s="14"/>
    </row>
    <row r="7" spans="2:12" s="1" customFormat="1" ht="2.25" customHeight="1">
      <c r="B7" s="10"/>
      <c r="C7" s="11"/>
      <c r="D7" s="12"/>
      <c r="E7" s="13"/>
      <c r="F7" s="12"/>
      <c r="G7" s="12"/>
      <c r="H7" s="10"/>
      <c r="I7" s="53"/>
      <c r="J7" s="53"/>
      <c r="K7" s="53"/>
      <c r="L7" s="14"/>
    </row>
    <row r="8" spans="2:12" s="1" customFormat="1" ht="13.5" customHeight="1">
      <c r="B8" s="10"/>
      <c r="C8" s="11" t="s">
        <v>2</v>
      </c>
      <c r="D8" s="52">
        <f>IF(AND(ISNUMBER(D12),D12&gt;0,ISNUMBER(D10),D10&gt;0),D12+D10,"")</f>
        <v>9.4</v>
      </c>
      <c r="E8" s="15" t="str">
        <f>IF(OR(D6="%",D6="lbs/ton",D6="lbs/1000 gallons"),D6,"")</f>
        <v>lbs/ton</v>
      </c>
      <c r="F8" s="12"/>
      <c r="G8" s="12"/>
      <c r="H8" s="63"/>
      <c r="I8" s="11" t="s">
        <v>35</v>
      </c>
      <c r="J8" s="82">
        <v>0.38</v>
      </c>
      <c r="K8" s="15" t="s">
        <v>120</v>
      </c>
      <c r="L8" s="14"/>
    </row>
    <row r="9" spans="2:12" s="1" customFormat="1" ht="2.25" customHeight="1">
      <c r="B9" s="10"/>
      <c r="C9" s="11"/>
      <c r="D9" s="16"/>
      <c r="E9" s="15"/>
      <c r="F9" s="12"/>
      <c r="G9" s="12"/>
      <c r="H9" s="10"/>
      <c r="I9" s="12"/>
      <c r="J9" s="12"/>
      <c r="K9" s="12"/>
      <c r="L9" s="14"/>
    </row>
    <row r="10" spans="2:12" s="1" customFormat="1" ht="13.5" customHeight="1">
      <c r="B10" s="10"/>
      <c r="C10" s="11" t="s">
        <v>3</v>
      </c>
      <c r="D10" s="81">
        <v>3.6</v>
      </c>
      <c r="E10" s="15" t="str">
        <f>IF(OR(D6="%",D6="lbs/ton",D6="lbs/1000 gallons"),D6,"")</f>
        <v>lbs/ton</v>
      </c>
      <c r="F10" s="53"/>
      <c r="G10" s="12"/>
      <c r="H10" s="63"/>
      <c r="I10" s="11" t="s">
        <v>50</v>
      </c>
      <c r="J10" s="82">
        <v>0.27</v>
      </c>
      <c r="K10" s="15" t="s">
        <v>120</v>
      </c>
      <c r="L10" s="14"/>
    </row>
    <row r="11" spans="2:12" s="1" customFormat="1" ht="2.25" customHeight="1">
      <c r="B11" s="10"/>
      <c r="C11" s="11"/>
      <c r="D11" s="16"/>
      <c r="E11" s="15"/>
      <c r="F11" s="12"/>
      <c r="G11" s="12"/>
      <c r="H11" s="10"/>
      <c r="I11" s="12"/>
      <c r="J11" s="12"/>
      <c r="K11" s="12"/>
      <c r="L11" s="14"/>
    </row>
    <row r="12" spans="2:12" s="1" customFormat="1" ht="13.5" customHeight="1">
      <c r="B12" s="10"/>
      <c r="C12" s="11" t="s">
        <v>22</v>
      </c>
      <c r="D12" s="81">
        <v>5.8</v>
      </c>
      <c r="E12" s="15" t="str">
        <f>IF(OR(D6="%",D6="lbs/ton",D6="lbs/1000 gallons"),D6,"")</f>
        <v>lbs/ton</v>
      </c>
      <c r="F12" s="12"/>
      <c r="G12" s="12"/>
      <c r="H12" s="63"/>
      <c r="I12" s="11" t="s">
        <v>51</v>
      </c>
      <c r="J12" s="82">
        <v>0.19</v>
      </c>
      <c r="K12" s="15" t="s">
        <v>120</v>
      </c>
      <c r="L12" s="14"/>
    </row>
    <row r="13" spans="2:12" s="1" customFormat="1" ht="2.25" customHeight="1">
      <c r="B13" s="10"/>
      <c r="C13" s="11"/>
      <c r="D13" s="16"/>
      <c r="E13" s="15"/>
      <c r="F13" s="12"/>
      <c r="G13" s="12"/>
      <c r="H13" s="10"/>
      <c r="I13" s="12"/>
      <c r="J13" s="12"/>
      <c r="K13" s="12"/>
      <c r="L13" s="14"/>
    </row>
    <row r="14" spans="2:12" s="1" customFormat="1" ht="14.25" customHeight="1">
      <c r="B14" s="10"/>
      <c r="C14" s="11" t="s">
        <v>50</v>
      </c>
      <c r="D14" s="81">
        <v>4</v>
      </c>
      <c r="E14" s="15" t="str">
        <f>IF(OR(D6="%",D6="lbs/ton",D6="lbs/1000 gallons"),D6,"")</f>
        <v>lbs/ton</v>
      </c>
      <c r="F14" s="12"/>
      <c r="G14" s="12"/>
      <c r="H14" s="115" t="s">
        <v>129</v>
      </c>
      <c r="I14" s="116"/>
      <c r="J14" s="116"/>
      <c r="K14" s="116"/>
      <c r="L14" s="117"/>
    </row>
    <row r="15" spans="2:12" s="1" customFormat="1" ht="2.25" customHeight="1">
      <c r="B15" s="10"/>
      <c r="C15" s="11"/>
      <c r="D15" s="16"/>
      <c r="E15" s="15"/>
      <c r="F15" s="12"/>
      <c r="G15" s="12"/>
      <c r="H15" s="118"/>
      <c r="I15" s="116"/>
      <c r="J15" s="116"/>
      <c r="K15" s="116"/>
      <c r="L15" s="117"/>
    </row>
    <row r="16" spans="2:12" s="1" customFormat="1" ht="14.25" customHeight="1">
      <c r="B16" s="10"/>
      <c r="C16" s="11" t="s">
        <v>51</v>
      </c>
      <c r="D16" s="81">
        <v>4.6</v>
      </c>
      <c r="E16" s="15" t="str">
        <f>IF(OR(D6="%",D6="lbs/ton",D6="lbs/1000 gallons"),D6,"")</f>
        <v>lbs/ton</v>
      </c>
      <c r="F16" s="12"/>
      <c r="G16" s="12"/>
      <c r="H16" s="118"/>
      <c r="I16" s="116"/>
      <c r="J16" s="116"/>
      <c r="K16" s="116"/>
      <c r="L16" s="117"/>
    </row>
    <row r="17" spans="2:12" s="1" customFormat="1" ht="2.25" customHeight="1">
      <c r="B17" s="10"/>
      <c r="C17" s="11"/>
      <c r="D17" s="17"/>
      <c r="E17" s="15"/>
      <c r="F17" s="12"/>
      <c r="G17" s="12"/>
      <c r="H17" s="118"/>
      <c r="I17" s="116"/>
      <c r="J17" s="116"/>
      <c r="K17" s="116"/>
      <c r="L17" s="117"/>
    </row>
    <row r="18" spans="2:12" s="1" customFormat="1" ht="13.5" customHeight="1">
      <c r="B18" s="10"/>
      <c r="C18" s="11" t="s">
        <v>12</v>
      </c>
      <c r="D18" s="54">
        <v>14</v>
      </c>
      <c r="E18" s="15" t="s">
        <v>4</v>
      </c>
      <c r="F18" s="12"/>
      <c r="G18" s="12"/>
      <c r="H18" s="118"/>
      <c r="I18" s="116"/>
      <c r="J18" s="116"/>
      <c r="K18" s="116"/>
      <c r="L18" s="117"/>
    </row>
    <row r="19" spans="2:12" s="1" customFormat="1" ht="2.25" customHeight="1">
      <c r="B19" s="10"/>
      <c r="C19" s="11"/>
      <c r="D19" s="18"/>
      <c r="E19" s="15"/>
      <c r="F19" s="12"/>
      <c r="G19" s="12"/>
      <c r="H19" s="118"/>
      <c r="I19" s="116"/>
      <c r="J19" s="116"/>
      <c r="K19" s="116"/>
      <c r="L19" s="117"/>
    </row>
    <row r="20" spans="2:12" s="1" customFormat="1" ht="13.5" customHeight="1">
      <c r="B20" s="10"/>
      <c r="C20" s="11" t="s">
        <v>38</v>
      </c>
      <c r="D20" s="81">
        <v>8.34</v>
      </c>
      <c r="E20" s="15" t="s">
        <v>37</v>
      </c>
      <c r="F20" s="12"/>
      <c r="G20" s="12"/>
      <c r="H20" s="118"/>
      <c r="I20" s="116"/>
      <c r="J20" s="116"/>
      <c r="K20" s="116"/>
      <c r="L20" s="117"/>
    </row>
    <row r="21" spans="2:12" s="1" customFormat="1" ht="2.25" customHeight="1">
      <c r="B21" s="19"/>
      <c r="C21" s="20"/>
      <c r="D21" s="21"/>
      <c r="E21" s="22"/>
      <c r="F21" s="23"/>
      <c r="G21" s="23"/>
      <c r="H21" s="118"/>
      <c r="I21" s="116"/>
      <c r="J21" s="116"/>
      <c r="K21" s="116"/>
      <c r="L21" s="117"/>
    </row>
    <row r="22" spans="2:12" s="1" customFormat="1" ht="2.25" customHeight="1">
      <c r="B22" s="10"/>
      <c r="C22" s="13"/>
      <c r="D22" s="12"/>
      <c r="E22" s="13"/>
      <c r="F22" s="12"/>
      <c r="G22" s="12"/>
      <c r="H22" s="85"/>
      <c r="I22" s="83"/>
      <c r="J22" s="83"/>
      <c r="K22" s="83"/>
      <c r="L22" s="84"/>
    </row>
    <row r="23" spans="2:12" s="1" customFormat="1" ht="16.5" customHeight="1">
      <c r="B23" s="25" t="s">
        <v>5</v>
      </c>
      <c r="C23" s="26"/>
      <c r="D23" s="12"/>
      <c r="E23" s="12"/>
      <c r="F23" s="12"/>
      <c r="G23" s="12"/>
      <c r="H23" s="85"/>
      <c r="I23" s="83"/>
      <c r="J23" s="83"/>
      <c r="K23" s="83"/>
      <c r="L23" s="84"/>
    </row>
    <row r="24" spans="2:12" s="1" customFormat="1" ht="13.5" customHeight="1">
      <c r="B24" s="10"/>
      <c r="C24" s="11" t="s">
        <v>1</v>
      </c>
      <c r="D24" s="81" t="s">
        <v>97</v>
      </c>
      <c r="E24" s="12"/>
      <c r="F24" s="27" t="s">
        <v>8</v>
      </c>
      <c r="G24" s="12"/>
      <c r="H24" s="59" t="s">
        <v>117</v>
      </c>
      <c r="I24" s="12"/>
      <c r="J24" s="12"/>
      <c r="K24" s="12"/>
      <c r="L24" s="14"/>
    </row>
    <row r="25" spans="2:12" s="1" customFormat="1" ht="2.25" customHeight="1">
      <c r="B25" s="10"/>
      <c r="C25" s="11"/>
      <c r="D25" s="12"/>
      <c r="E25" s="12"/>
      <c r="F25" s="28"/>
      <c r="G25" s="12"/>
      <c r="H25" s="10"/>
      <c r="I25" s="12"/>
      <c r="J25" s="12"/>
      <c r="K25" s="12"/>
      <c r="L25" s="14"/>
    </row>
    <row r="26" spans="2:12" s="1" customFormat="1" ht="13.5" customHeight="1">
      <c r="B26" s="10"/>
      <c r="C26" s="11" t="s">
        <v>6</v>
      </c>
      <c r="D26" s="81">
        <v>20</v>
      </c>
      <c r="E26" s="15" t="str">
        <f>(D24)&amp;"/acre"</f>
        <v>tons/acre</v>
      </c>
      <c r="F26" s="49">
        <f>Data!C5</f>
        <v>13.919999999999998</v>
      </c>
      <c r="G26" s="15" t="s">
        <v>9</v>
      </c>
      <c r="H26" s="59"/>
      <c r="I26" s="15"/>
      <c r="J26" s="68">
        <f>IF(ISERROR(Data!B106),"",Data!B106)</f>
        <v>5.289599999999999</v>
      </c>
      <c r="K26" s="15" t="s">
        <v>121</v>
      </c>
      <c r="L26" s="64"/>
    </row>
    <row r="27" spans="2:12" s="1" customFormat="1" ht="2.25" customHeight="1">
      <c r="B27" s="10"/>
      <c r="C27" s="11"/>
      <c r="D27" s="16"/>
      <c r="E27" s="15"/>
      <c r="F27" s="46"/>
      <c r="G27" s="15"/>
      <c r="H27" s="59"/>
      <c r="I27" s="15"/>
      <c r="J27" s="15"/>
      <c r="K27" s="15"/>
      <c r="L27" s="64"/>
    </row>
    <row r="28" spans="2:12" s="1" customFormat="1" ht="13.5" customHeight="1">
      <c r="B28" s="10"/>
      <c r="C28" s="11" t="s">
        <v>7</v>
      </c>
      <c r="D28" s="81">
        <v>15</v>
      </c>
      <c r="E28" s="15" t="str">
        <f>(D24)&amp;"/acre"</f>
        <v>tons/acre</v>
      </c>
      <c r="F28" s="49">
        <f>Data!C6</f>
        <v>4.35</v>
      </c>
      <c r="G28" s="15" t="s">
        <v>9</v>
      </c>
      <c r="H28" s="59"/>
      <c r="I28" s="15"/>
      <c r="J28" s="68">
        <f>IF(ISERROR(Data!B107),"",Data!B107)</f>
        <v>1.6529999999999998</v>
      </c>
      <c r="K28" s="15" t="s">
        <v>121</v>
      </c>
      <c r="L28" s="64"/>
    </row>
    <row r="29" spans="2:12" s="1" customFormat="1" ht="2.25" customHeight="1">
      <c r="B29" s="10"/>
      <c r="C29" s="29"/>
      <c r="D29" s="30"/>
      <c r="E29" s="15"/>
      <c r="F29" s="47"/>
      <c r="G29" s="15"/>
      <c r="H29" s="59"/>
      <c r="I29" s="15"/>
      <c r="J29" s="15"/>
      <c r="K29" s="15"/>
      <c r="L29" s="64"/>
    </row>
    <row r="30" spans="2:12" s="1" customFormat="1" ht="13.5" customHeight="1">
      <c r="B30" s="10"/>
      <c r="C30" s="12"/>
      <c r="D30" s="31"/>
      <c r="E30" s="71" t="s">
        <v>24</v>
      </c>
      <c r="F30" s="72">
        <f>IF(ISERROR(Data!C7),"",F26+F28)</f>
        <v>18.269999999999996</v>
      </c>
      <c r="G30" s="73" t="s">
        <v>9</v>
      </c>
      <c r="H30" s="60"/>
      <c r="I30" s="33"/>
      <c r="J30" s="74">
        <f>IF(ISERROR(Data!B108),"",Data!B108)</f>
        <v>6.942599999999999</v>
      </c>
      <c r="K30" s="73" t="s">
        <v>121</v>
      </c>
      <c r="L30" s="65"/>
    </row>
    <row r="31" spans="2:12" s="1" customFormat="1" ht="2.25" customHeight="1">
      <c r="B31" s="10"/>
      <c r="C31" s="12"/>
      <c r="D31" s="12"/>
      <c r="E31" s="34"/>
      <c r="F31" s="35"/>
      <c r="G31" s="36"/>
      <c r="H31" s="61"/>
      <c r="I31" s="36"/>
      <c r="J31" s="69"/>
      <c r="K31" s="36"/>
      <c r="L31" s="66"/>
    </row>
    <row r="32" spans="2:12" s="1" customFormat="1" ht="2.25" customHeight="1">
      <c r="B32" s="37"/>
      <c r="C32" s="8"/>
      <c r="D32" s="7"/>
      <c r="E32" s="8"/>
      <c r="F32" s="38"/>
      <c r="G32" s="7"/>
      <c r="H32" s="10"/>
      <c r="I32" s="12"/>
      <c r="J32" s="12"/>
      <c r="K32" s="12"/>
      <c r="L32" s="14"/>
    </row>
    <row r="33" spans="2:12" s="1" customFormat="1" ht="16.5" customHeight="1">
      <c r="B33" s="25" t="s">
        <v>10</v>
      </c>
      <c r="C33" s="26"/>
      <c r="D33" s="12"/>
      <c r="E33" s="13"/>
      <c r="F33" s="39"/>
      <c r="G33" s="12"/>
      <c r="H33" s="25"/>
      <c r="I33" s="12"/>
      <c r="J33" s="12"/>
      <c r="K33" s="12"/>
      <c r="L33" s="14"/>
    </row>
    <row r="34" spans="2:12" s="1" customFormat="1" ht="13.5" customHeight="1">
      <c r="B34" s="10"/>
      <c r="C34" s="11" t="s">
        <v>1</v>
      </c>
      <c r="D34" s="81" t="s">
        <v>97</v>
      </c>
      <c r="E34" s="15"/>
      <c r="F34" s="40"/>
      <c r="G34" s="31"/>
      <c r="H34" s="62"/>
      <c r="I34" s="31"/>
      <c r="J34" s="31"/>
      <c r="K34" s="31"/>
      <c r="L34" s="67"/>
    </row>
    <row r="35" spans="2:12" s="1" customFormat="1" ht="2.25" customHeight="1">
      <c r="B35" s="10"/>
      <c r="C35" s="11"/>
      <c r="D35" s="31"/>
      <c r="E35" s="15"/>
      <c r="F35" s="40"/>
      <c r="G35" s="31"/>
      <c r="H35" s="62"/>
      <c r="I35" s="31"/>
      <c r="J35" s="31"/>
      <c r="K35" s="31"/>
      <c r="L35" s="67"/>
    </row>
    <row r="36" spans="2:12" s="1" customFormat="1" ht="13.5" customHeight="1">
      <c r="B36" s="10"/>
      <c r="C36" s="11" t="s">
        <v>69</v>
      </c>
      <c r="D36" s="81">
        <v>15</v>
      </c>
      <c r="E36" s="15" t="str">
        <f>(D34)&amp;"/acre"</f>
        <v>tons/acre</v>
      </c>
      <c r="F36" s="40"/>
      <c r="G36" s="31"/>
      <c r="H36" s="62"/>
      <c r="I36" s="31"/>
      <c r="J36" s="31"/>
      <c r="K36" s="31"/>
      <c r="L36" s="67"/>
    </row>
    <row r="37" spans="2:12" s="1" customFormat="1" ht="2.25" customHeight="1">
      <c r="B37" s="10"/>
      <c r="C37" s="11"/>
      <c r="D37" s="30"/>
      <c r="E37" s="15"/>
      <c r="F37" s="40"/>
      <c r="G37" s="31"/>
      <c r="H37" s="62"/>
      <c r="I37" s="31"/>
      <c r="J37" s="31"/>
      <c r="K37" s="31"/>
      <c r="L37" s="67"/>
    </row>
    <row r="38" spans="2:15" s="1" customFormat="1" ht="13.5" customHeight="1">
      <c r="B38" s="10"/>
      <c r="C38" s="11" t="s">
        <v>11</v>
      </c>
      <c r="D38" s="113" t="s">
        <v>17</v>
      </c>
      <c r="E38" s="114"/>
      <c r="F38" s="15"/>
      <c r="G38" s="31"/>
      <c r="H38" s="62"/>
      <c r="I38" s="31"/>
      <c r="J38" s="31"/>
      <c r="K38" s="31"/>
      <c r="L38" s="67"/>
      <c r="O38" s="70"/>
    </row>
    <row r="39" spans="2:12" s="1" customFormat="1" ht="13.5" customHeight="1">
      <c r="B39" s="10"/>
      <c r="C39" s="15"/>
      <c r="D39" s="31"/>
      <c r="E39" s="15"/>
      <c r="F39" s="30" t="s">
        <v>57</v>
      </c>
      <c r="G39" s="31"/>
      <c r="H39" s="59" t="s">
        <v>118</v>
      </c>
      <c r="I39" s="15"/>
      <c r="J39" s="15"/>
      <c r="K39" s="15"/>
      <c r="L39" s="67"/>
    </row>
    <row r="40" spans="2:12" s="1" customFormat="1" ht="2.25" customHeight="1">
      <c r="B40" s="10"/>
      <c r="C40" s="15"/>
      <c r="D40" s="31"/>
      <c r="E40" s="15"/>
      <c r="F40" s="30"/>
      <c r="G40" s="31"/>
      <c r="H40" s="59"/>
      <c r="I40" s="15"/>
      <c r="J40" s="15"/>
      <c r="K40" s="15"/>
      <c r="L40" s="67"/>
    </row>
    <row r="41" spans="2:12" s="1" customFormat="1" ht="13.5" customHeight="1">
      <c r="B41" s="10"/>
      <c r="C41" s="15"/>
      <c r="D41" s="31"/>
      <c r="E41" s="11" t="s">
        <v>25</v>
      </c>
      <c r="F41" s="49">
        <f>Data!C48</f>
        <v>22.14</v>
      </c>
      <c r="G41" s="15" t="s">
        <v>9</v>
      </c>
      <c r="H41" s="59"/>
      <c r="I41" s="15"/>
      <c r="J41" s="68">
        <f>IF(ISERROR(Data!B110),"",Data!B110)</f>
        <v>8.4132</v>
      </c>
      <c r="K41" s="15" t="s">
        <v>121</v>
      </c>
      <c r="L41" s="64"/>
    </row>
    <row r="42" spans="2:12" s="1" customFormat="1" ht="2.25" customHeight="1">
      <c r="B42" s="10"/>
      <c r="C42" s="15"/>
      <c r="D42" s="31"/>
      <c r="E42" s="11"/>
      <c r="F42" s="47"/>
      <c r="G42" s="15"/>
      <c r="H42" s="59"/>
      <c r="I42" s="15"/>
      <c r="J42" s="15"/>
      <c r="K42" s="15"/>
      <c r="L42" s="64"/>
    </row>
    <row r="43" spans="2:12" s="1" customFormat="1" ht="13.5" customHeight="1">
      <c r="B43" s="10"/>
      <c r="C43" s="15"/>
      <c r="D43" s="31"/>
      <c r="E43" s="11" t="s">
        <v>26</v>
      </c>
      <c r="F43" s="49">
        <f>Data!C56</f>
        <v>30.449999999999996</v>
      </c>
      <c r="G43" s="15" t="s">
        <v>9</v>
      </c>
      <c r="H43" s="59"/>
      <c r="I43" s="15"/>
      <c r="J43" s="68">
        <f>IF(ISERROR(Data!B111),"",Data!B111)</f>
        <v>11.570999999999998</v>
      </c>
      <c r="K43" s="15" t="s">
        <v>121</v>
      </c>
      <c r="L43" s="64"/>
    </row>
    <row r="44" spans="2:12" s="1" customFormat="1" ht="2.25" customHeight="1">
      <c r="B44" s="10"/>
      <c r="C44" s="15"/>
      <c r="D44" s="31"/>
      <c r="E44" s="11"/>
      <c r="F44" s="47"/>
      <c r="G44" s="15"/>
      <c r="H44" s="59"/>
      <c r="I44" s="15"/>
      <c r="J44" s="15"/>
      <c r="K44" s="15"/>
      <c r="L44" s="64"/>
    </row>
    <row r="45" spans="2:12" s="1" customFormat="1" ht="13.5" customHeight="1">
      <c r="B45" s="10"/>
      <c r="C45" s="15"/>
      <c r="D45" s="41"/>
      <c r="E45" s="71" t="s">
        <v>23</v>
      </c>
      <c r="F45" s="72">
        <f>IF(ISERROR(Data!C64),"",Data!C64)</f>
        <v>52.589999999999996</v>
      </c>
      <c r="G45" s="73" t="s">
        <v>9</v>
      </c>
      <c r="H45" s="60"/>
      <c r="I45" s="33"/>
      <c r="J45" s="74">
        <f>IF(ISERROR(Data!B112),"",Data!B112)</f>
        <v>19.984199999999998</v>
      </c>
      <c r="K45" s="73" t="s">
        <v>121</v>
      </c>
      <c r="L45" s="75"/>
    </row>
    <row r="46" spans="2:12" s="1" customFormat="1" ht="2.25" customHeight="1">
      <c r="B46" s="10"/>
      <c r="C46" s="15"/>
      <c r="D46" s="41"/>
      <c r="E46" s="32"/>
      <c r="F46" s="48"/>
      <c r="G46" s="33"/>
      <c r="H46" s="60"/>
      <c r="I46" s="33"/>
      <c r="J46" s="33"/>
      <c r="K46" s="33"/>
      <c r="L46" s="65"/>
    </row>
    <row r="47" spans="2:12" s="1" customFormat="1" ht="14.25" customHeight="1">
      <c r="B47" s="10"/>
      <c r="C47" s="15"/>
      <c r="D47" s="41"/>
      <c r="E47" s="71" t="s">
        <v>124</v>
      </c>
      <c r="F47" s="72">
        <f>Data!C66</f>
        <v>60</v>
      </c>
      <c r="G47" s="73" t="s">
        <v>9</v>
      </c>
      <c r="H47" s="60"/>
      <c r="I47" s="33"/>
      <c r="J47" s="74">
        <f>IF(ISERROR(Data!B114),"",Data!B114)</f>
        <v>16.200000000000003</v>
      </c>
      <c r="K47" s="73" t="s">
        <v>121</v>
      </c>
      <c r="L47" s="65"/>
    </row>
    <row r="48" spans="2:12" s="1" customFormat="1" ht="2.25" customHeight="1">
      <c r="B48" s="10"/>
      <c r="C48" s="15"/>
      <c r="D48" s="41"/>
      <c r="E48" s="32"/>
      <c r="F48" s="47"/>
      <c r="G48" s="33"/>
      <c r="H48" s="60"/>
      <c r="I48" s="33"/>
      <c r="J48" s="33"/>
      <c r="K48" s="33"/>
      <c r="L48" s="65"/>
    </row>
    <row r="49" spans="2:12" s="1" customFormat="1" ht="14.25" customHeight="1">
      <c r="B49" s="10"/>
      <c r="C49" s="15"/>
      <c r="D49" s="41"/>
      <c r="E49" s="71" t="s">
        <v>125</v>
      </c>
      <c r="F49" s="72">
        <f>Data!C74</f>
        <v>69</v>
      </c>
      <c r="G49" s="73" t="s">
        <v>9</v>
      </c>
      <c r="H49" s="60"/>
      <c r="I49" s="33"/>
      <c r="J49" s="74">
        <f>IF(ISERROR(Data!B115),"",Data!B115)</f>
        <v>13.11</v>
      </c>
      <c r="K49" s="73" t="s">
        <v>121</v>
      </c>
      <c r="L49" s="65"/>
    </row>
    <row r="50" spans="2:12" s="1" customFormat="1" ht="2.25" customHeight="1">
      <c r="B50" s="10"/>
      <c r="C50" s="15"/>
      <c r="D50" s="41"/>
      <c r="E50" s="71"/>
      <c r="F50" s="79"/>
      <c r="G50" s="73"/>
      <c r="H50" s="60"/>
      <c r="I50" s="33"/>
      <c r="J50" s="78"/>
      <c r="K50" s="73"/>
      <c r="L50" s="65"/>
    </row>
    <row r="51" spans="2:12" s="1" customFormat="1" ht="2.25" customHeight="1">
      <c r="B51" s="37"/>
      <c r="C51" s="8"/>
      <c r="D51" s="7"/>
      <c r="E51" s="8"/>
      <c r="F51" s="38"/>
      <c r="G51" s="7"/>
      <c r="H51" s="7"/>
      <c r="I51" s="7"/>
      <c r="J51" s="7"/>
      <c r="K51" s="7"/>
      <c r="L51" s="9"/>
    </row>
    <row r="52" spans="2:12" s="1" customFormat="1" ht="16.5" customHeight="1">
      <c r="B52" s="25" t="s">
        <v>34</v>
      </c>
      <c r="C52" s="26"/>
      <c r="D52" s="42"/>
      <c r="E52" s="43"/>
      <c r="F52" s="30" t="s">
        <v>36</v>
      </c>
      <c r="G52" s="44"/>
      <c r="H52" s="44"/>
      <c r="I52" s="44"/>
      <c r="J52" s="44"/>
      <c r="K52" s="44"/>
      <c r="L52" s="14"/>
    </row>
    <row r="53" spans="2:12" s="1" customFormat="1" ht="2.25" customHeight="1">
      <c r="B53" s="25"/>
      <c r="C53" s="26"/>
      <c r="D53" s="42"/>
      <c r="E53" s="43"/>
      <c r="F53" s="30"/>
      <c r="G53" s="44"/>
      <c r="H53" s="44"/>
      <c r="I53" s="44"/>
      <c r="J53" s="44"/>
      <c r="K53" s="44"/>
      <c r="L53" s="14"/>
    </row>
    <row r="54" spans="2:15" s="1" customFormat="1" ht="13.5" customHeight="1">
      <c r="B54" s="10"/>
      <c r="C54" s="11" t="s">
        <v>35</v>
      </c>
      <c r="D54" s="54">
        <v>90</v>
      </c>
      <c r="E54" s="15" t="s">
        <v>9</v>
      </c>
      <c r="F54" s="50">
        <f>Data!B101</f>
        <v>-19</v>
      </c>
      <c r="G54" s="15" t="s">
        <v>9</v>
      </c>
      <c r="H54" s="33" t="str">
        <f>IF(F54=0,"Balanced",IF(F54&gt;0,"Surplus","Deficit"))</f>
        <v>Deficit</v>
      </c>
      <c r="I54" s="33"/>
      <c r="J54" s="33"/>
      <c r="K54" s="15"/>
      <c r="L54" s="14"/>
      <c r="N54" s="80"/>
      <c r="O54" s="80"/>
    </row>
    <row r="55" spans="2:15" s="1" customFormat="1" ht="2.25" customHeight="1">
      <c r="B55" s="10"/>
      <c r="C55" s="15"/>
      <c r="D55" s="45"/>
      <c r="E55" s="15"/>
      <c r="F55" s="40"/>
      <c r="G55" s="15"/>
      <c r="H55" s="33"/>
      <c r="I55" s="33"/>
      <c r="J55" s="33"/>
      <c r="K55" s="15"/>
      <c r="L55" s="14"/>
      <c r="N55" s="80"/>
      <c r="O55" s="80"/>
    </row>
    <row r="56" spans="2:15" s="1" customFormat="1" ht="14.25" customHeight="1">
      <c r="B56" s="10"/>
      <c r="C56" s="11" t="s">
        <v>50</v>
      </c>
      <c r="D56" s="54">
        <v>20</v>
      </c>
      <c r="E56" s="15" t="s">
        <v>9</v>
      </c>
      <c r="F56" s="50">
        <f>Data!B102</f>
        <v>40</v>
      </c>
      <c r="G56" s="15" t="s">
        <v>9</v>
      </c>
      <c r="H56" s="33" t="str">
        <f>IF(F56=0,"Balanced",IF(F56&gt;0,"Surplus","Deficit"))</f>
        <v>Surplus</v>
      </c>
      <c r="I56" s="33"/>
      <c r="J56" s="33"/>
      <c r="K56" s="15"/>
      <c r="L56" s="14"/>
      <c r="N56" s="80"/>
      <c r="O56" s="80"/>
    </row>
    <row r="57" spans="2:12" s="1" customFormat="1" ht="2.25" customHeight="1">
      <c r="B57" s="10"/>
      <c r="C57" s="15"/>
      <c r="D57" s="45"/>
      <c r="E57" s="32"/>
      <c r="F57" s="40"/>
      <c r="G57" s="11"/>
      <c r="H57" s="32"/>
      <c r="I57" s="32"/>
      <c r="J57" s="32"/>
      <c r="K57" s="11"/>
      <c r="L57" s="14"/>
    </row>
    <row r="58" spans="2:12" s="1" customFormat="1" ht="14.25" customHeight="1">
      <c r="B58" s="10"/>
      <c r="C58" s="11" t="s">
        <v>51</v>
      </c>
      <c r="D58" s="54">
        <v>45</v>
      </c>
      <c r="E58" s="15" t="s">
        <v>9</v>
      </c>
      <c r="F58" s="50">
        <f>Data!B103</f>
        <v>24</v>
      </c>
      <c r="G58" s="15" t="s">
        <v>9</v>
      </c>
      <c r="H58" s="33" t="str">
        <f>IF(F58=0,"Balanced",IF(F58&gt;0,"Surplus","Deficit"))</f>
        <v>Surplus</v>
      </c>
      <c r="I58" s="33"/>
      <c r="J58" s="33"/>
      <c r="K58" s="15"/>
      <c r="L58" s="14"/>
    </row>
    <row r="59" spans="2:12" s="1" customFormat="1" ht="2.25" customHeight="1">
      <c r="B59" s="19"/>
      <c r="C59" s="22"/>
      <c r="D59" s="23"/>
      <c r="E59" s="23"/>
      <c r="F59" s="23"/>
      <c r="G59" s="23"/>
      <c r="H59" s="23"/>
      <c r="I59" s="23"/>
      <c r="J59" s="23"/>
      <c r="K59" s="23"/>
      <c r="L59" s="24"/>
    </row>
    <row r="60" s="1" customFormat="1" ht="12" customHeight="1">
      <c r="E60" s="2"/>
    </row>
    <row r="61" spans="3:5" s="1" customFormat="1" ht="12" customHeight="1">
      <c r="C61" s="51" t="s">
        <v>14</v>
      </c>
      <c r="E61" s="2"/>
    </row>
    <row r="62" spans="3:5" s="1" customFormat="1" ht="12" customHeight="1">
      <c r="C62" s="51" t="s">
        <v>15</v>
      </c>
      <c r="E62" s="2"/>
    </row>
    <row r="63" spans="3:5" s="1" customFormat="1" ht="12" customHeight="1">
      <c r="C63" s="51" t="s">
        <v>16</v>
      </c>
      <c r="E63" s="2"/>
    </row>
    <row r="64" spans="3:5" s="1" customFormat="1" ht="12" customHeight="1">
      <c r="C64" s="51" t="s">
        <v>17</v>
      </c>
      <c r="E64" s="2"/>
    </row>
    <row r="65" ht="12" customHeight="1">
      <c r="C65" s="51" t="s">
        <v>18</v>
      </c>
    </row>
    <row r="66" ht="12" customHeight="1">
      <c r="C66" s="51" t="s">
        <v>19</v>
      </c>
    </row>
    <row r="67" ht="12" customHeight="1">
      <c r="C67" s="51" t="s">
        <v>20</v>
      </c>
    </row>
    <row r="68" ht="12" customHeight="1">
      <c r="C68" s="51" t="s">
        <v>21</v>
      </c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 sheet="1" objects="1" scenarios="1" selectLockedCells="1"/>
  <mergeCells count="2">
    <mergeCell ref="D38:E38"/>
    <mergeCell ref="H14:L21"/>
  </mergeCells>
  <dataValidations count="16">
    <dataValidation type="decimal" allowBlank="1" showInputMessage="1" showErrorMessage="1" errorTitle="Crop nitrogen requirement" error="Please enter a value between 0 and 1000." sqref="D54">
      <formula1>0</formula1>
      <formula2>1000</formula2>
    </dataValidation>
    <dataValidation type="decimal" allowBlank="1" showInputMessage="1" showErrorMessage="1" errorTitle="Crop P2O5 requirement." error="Please enter a value between 0 and 1000." sqref="D56">
      <formula1>0</formula1>
      <formula2>1000</formula2>
    </dataValidation>
    <dataValidation type="decimal" allowBlank="1" showInputMessage="1" showErrorMessage="1" errorTitle="Crop K2O requirement." error="Please enter a value between 0 and 1000." sqref="D58">
      <formula1>0</formula1>
      <formula2>1000</formula2>
    </dataValidation>
    <dataValidation type="list" showErrorMessage="1" errorTitle="Please select an animal species:" error="Cows&#10;Poultry&#10;Swine&#10;Horses&#10;Sheep" sqref="D4">
      <formula1>"Cows, Poultry, Swine, Horses, Sheep"</formula1>
    </dataValidation>
    <dataValidation type="list" allowBlank="1" showInputMessage="1" showErrorMessage="1" errorTitle="Please select the units:" error="%&#10;lbs/ton&#10;lbs/1000 gallons" sqref="D6">
      <formula1>"%, lbs/ton, lbs/1000 gallons"</formula1>
    </dataValidation>
    <dataValidation type="list" allowBlank="1" showInputMessage="1" showErrorMessage="1" errorTitle="Please select the units:" error="tons&#10;gallons" sqref="D24 D34">
      <formula1>"tons, gallons"</formula1>
    </dataValidation>
    <dataValidation type="list" allowBlank="1" showInputMessage="1" showErrorMessage="1" errorTitle="Please select method &amp; timing:" error="Injected as sidedress on row crops&#10;Spring incorp. w/in 1 day&#10;Spring incorp. w/in 2 days&#10;Spring incorp. w/in 3 days&#10;Spring incorp. w/in 4 days&#10;Spring incorp. w/in 5 days&#10;Topdressed / incorp. after 5 days&#10;Fall incorp. /injected" sqref="D38:E38">
      <formula1>$C$61:$C$68</formula1>
    </dataValidation>
    <dataValidation type="decimal" allowBlank="1" showInputMessage="1" showErrorMessage="1" errorTitle="Organic-N Manure Analysis" error="Please enter a value between 0 and 1000." sqref="D12">
      <formula1>0.0001</formula1>
      <formula2>999.9999</formula2>
    </dataValidation>
    <dataValidation type="decimal" allowBlank="1" showInputMessage="1" showErrorMessage="1" errorTitle="Ammonium-N Manure Analysis" error="Please enter a value between 0 and 1000." sqref="D10">
      <formula1>0.0001</formula1>
      <formula2>999.9999</formula2>
    </dataValidation>
    <dataValidation type="decimal" allowBlank="1" showInputMessage="1" showErrorMessage="1" errorTitle="P2O5 Manure Analysis" error="Please enter a value between 0 and 1000." sqref="D14">
      <formula1>0.0001</formula1>
      <formula2>999.9999</formula2>
    </dataValidation>
    <dataValidation type="decimal" allowBlank="1" showInputMessage="1" showErrorMessage="1" errorTitle="K2O Manure Analysis" error="Please enter a value between 0 and 1000." sqref="D16">
      <formula1>0.0001</formula1>
      <formula2>999.9999</formula2>
    </dataValidation>
    <dataValidation type="decimal" allowBlank="1" showInputMessage="1" showErrorMessage="1" errorTitle="Total Solids Manure Analysis" error="Please enter a value between 0 and 1000." sqref="D18">
      <formula1>0.0001</formula1>
      <formula2>999.9999</formula2>
    </dataValidation>
    <dataValidation type="decimal" allowBlank="1" showInputMessage="1" showErrorMessage="1" errorTitle="Density Manure Analysis" error="Please enter a value between 0 and 1000." sqref="D20">
      <formula1>0.0001</formula1>
      <formula2>999.9999</formula2>
    </dataValidation>
    <dataValidation type="whole" allowBlank="1" showInputMessage="1" showErrorMessage="1" errorTitle="Manure rate applied last year" error="Please enter a value between 0 and 100000." sqref="D26">
      <formula1>0</formula1>
      <formula2>100000</formula2>
    </dataValidation>
    <dataValidation type="whole" allowBlank="1" showInputMessage="1" showErrorMessage="1" errorTitle="Manure rate applied 2 years ago." error="Please enter a value between 0 and 100000." sqref="D28">
      <formula1>0</formula1>
      <formula2>100000</formula2>
    </dataValidation>
    <dataValidation type="whole" allowBlank="1" showInputMessage="1" showErrorMessage="1" errorTitle="Manure rate applied this year." error="Please enter a value between 0 and 100000." sqref="D36">
      <formula1>0</formula1>
      <formula2>100000</formula2>
    </dataValidation>
  </dataValidations>
  <printOptions/>
  <pageMargins left="0.5" right="0.5" top="0.5" bottom="0.5" header="0.5" footer="0.5"/>
  <pageSetup fitToHeight="1" fitToWidth="1" horizontalDpi="300" verticalDpi="300" orientation="landscape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17"/>
  <sheetViews>
    <sheetView showGridLines="0" showRowColHeaders="0" zoomScale="75" zoomScaleNormal="75" workbookViewId="0" topLeftCell="A64">
      <selection activeCell="G126" sqref="G126"/>
    </sheetView>
  </sheetViews>
  <sheetFormatPr defaultColWidth="9.140625" defaultRowHeight="12.75"/>
  <cols>
    <col min="1" max="1" width="33.140625" style="87" customWidth="1"/>
    <col min="2" max="2" width="24.28125" style="87" customWidth="1"/>
    <col min="3" max="3" width="20.57421875" style="87" customWidth="1"/>
    <col min="4" max="6" width="26.140625" style="87" customWidth="1"/>
    <col min="7" max="7" width="33.57421875" style="87" customWidth="1"/>
    <col min="8" max="8" width="13.8515625" style="88" customWidth="1"/>
    <col min="9" max="12" width="9.140625" style="87" customWidth="1"/>
    <col min="13" max="13" width="18.140625" style="87" customWidth="1"/>
    <col min="14" max="16384" width="9.140625" style="87" customWidth="1"/>
  </cols>
  <sheetData>
    <row r="1" ht="12.75">
      <c r="A1" s="86" t="s">
        <v>70</v>
      </c>
    </row>
    <row r="2" ht="12.75">
      <c r="A2" s="86"/>
    </row>
    <row r="3" ht="12.75">
      <c r="A3" s="86" t="s">
        <v>71</v>
      </c>
    </row>
    <row r="4" spans="2:3" ht="12.75">
      <c r="B4" s="89" t="s">
        <v>47</v>
      </c>
      <c r="C4" s="89" t="s">
        <v>72</v>
      </c>
    </row>
    <row r="5" spans="1:3" ht="12.75">
      <c r="A5" s="86" t="s">
        <v>45</v>
      </c>
      <c r="B5" s="87">
        <v>12</v>
      </c>
      <c r="C5" s="90">
        <f>IF(OR(ISERROR(C9),ISERROR(C10),ISERROR(C11),ISERROR(C12),ISERROR(C13),ISERROR(C14),'Crop Manure Nutrient Calculator'!D12&lt;0,'Crop Manure Nutrient Calculator'!D12&gt;=10000,'Crop Manure Nutrient Calculator'!D26&lt;0,'Crop Manure Nutrient Calculator'!D26&gt;=1000000,'Crop Manure Nutrient Calculator'!D20&lt;=0),"",(IF(AND('Crop Manure Nutrient Calculator'!D6="%",'Crop Manure Nutrient Calculator'!D24="tons"),C9,IF(AND('Crop Manure Nutrient Calculator'!D6="%",'Crop Manure Nutrient Calculator'!D24="gallons"),C10,IF(AND('Crop Manure Nutrient Calculator'!D6="lbs/ton",'Crop Manure Nutrient Calculator'!D24="tons"),C11,IF(AND('Crop Manure Nutrient Calculator'!D6="lbs/ton",'Crop Manure Nutrient Calculator'!D24="gallons"),C12,IF(AND('Crop Manure Nutrient Calculator'!D6="lbs/1000 gallons",'Crop Manure Nutrient Calculator'!D24="tons"),C13,C14)))))))</f>
        <v>13.919999999999998</v>
      </c>
    </row>
    <row r="6" spans="1:3" ht="12.75">
      <c r="A6" s="86" t="s">
        <v>46</v>
      </c>
      <c r="B6" s="87">
        <v>5</v>
      </c>
      <c r="C6" s="90">
        <f>IF(OR(ISERROR(D9),ISERROR(D10),ISERROR(D11),ISERROR(D12),ISERROR(D13),ISERROR(D14),'Crop Manure Nutrient Calculator'!D12&lt;0,'Crop Manure Nutrient Calculator'!D12&gt;=10000,'Crop Manure Nutrient Calculator'!D28&lt;0,'Crop Manure Nutrient Calculator'!D28&gt;=1000000,'Crop Manure Nutrient Calculator'!D20&lt;=0),"",(IF(AND('Crop Manure Nutrient Calculator'!D6="%",'Crop Manure Nutrient Calculator'!D24="tons"),D9,IF(AND('Crop Manure Nutrient Calculator'!D6="%",'Crop Manure Nutrient Calculator'!D24="gallons"),D10,IF(AND('Crop Manure Nutrient Calculator'!D6="lbs/ton",'Crop Manure Nutrient Calculator'!D24="tons"),D11,IF(AND('Crop Manure Nutrient Calculator'!D6="lbs/ton",'Crop Manure Nutrient Calculator'!D24="gallons"),D12,IF(AND('Crop Manure Nutrient Calculator'!D6="lbs/1000 gallons",'Crop Manure Nutrient Calculator'!D24="tons"),D13,D14)))))))</f>
        <v>4.35</v>
      </c>
    </row>
    <row r="7" spans="1:4" ht="12.75">
      <c r="A7" s="86"/>
      <c r="C7" s="90">
        <f>C5+C6</f>
        <v>18.269999999999996</v>
      </c>
      <c r="D7" s="91"/>
    </row>
    <row r="8" spans="3:4" ht="12.75">
      <c r="C8" s="86" t="s">
        <v>48</v>
      </c>
      <c r="D8" s="86" t="s">
        <v>49</v>
      </c>
    </row>
    <row r="9" spans="2:4" ht="12.75">
      <c r="B9" s="86" t="s">
        <v>39</v>
      </c>
      <c r="C9" s="91">
        <f>B5/100*('Crop Manure Nutrient Calculator'!D12/100)*2000*'Crop Manure Nutrient Calculator'!D26</f>
        <v>278.4</v>
      </c>
      <c r="D9" s="91">
        <f>B6/100*('Crop Manure Nutrient Calculator'!D12/100)*2000*'Crop Manure Nutrient Calculator'!D28</f>
        <v>87</v>
      </c>
    </row>
    <row r="10" spans="2:4" ht="12.75">
      <c r="B10" s="86" t="s">
        <v>40</v>
      </c>
      <c r="C10" s="91">
        <f>B5/100*'Crop Manure Nutrient Calculator'!D12/100*'Crop Manure Nutrient Calculator'!D20*'Crop Manure Nutrient Calculator'!D26</f>
        <v>1.1609279999999997</v>
      </c>
      <c r="D10" s="91">
        <f>B6/100*'Crop Manure Nutrient Calculator'!D12/100*'Crop Manure Nutrient Calculator'!D20*'Crop Manure Nutrient Calculator'!D28</f>
        <v>0.36279</v>
      </c>
    </row>
    <row r="11" spans="2:4" ht="12.75">
      <c r="B11" s="86" t="s">
        <v>41</v>
      </c>
      <c r="C11" s="91">
        <f>B5/100*'Crop Manure Nutrient Calculator'!D12*'Crop Manure Nutrient Calculator'!D26</f>
        <v>13.919999999999998</v>
      </c>
      <c r="D11" s="91">
        <f>B6/100*'Crop Manure Nutrient Calculator'!D12*'Crop Manure Nutrient Calculator'!D28</f>
        <v>4.35</v>
      </c>
    </row>
    <row r="12" spans="2:4" ht="12.75">
      <c r="B12" s="86" t="s">
        <v>42</v>
      </c>
      <c r="C12" s="91">
        <f>B5/100*'Crop Manure Nutrient Calculator'!D26*'Crop Manure Nutrient Calculator'!D20*'Crop Manure Nutrient Calculator'!D12/2000</f>
        <v>0.05804639999999999</v>
      </c>
      <c r="D12" s="91">
        <f>B6/100*'Crop Manure Nutrient Calculator'!D28*'Crop Manure Nutrient Calculator'!D20*'Crop Manure Nutrient Calculator'!D12/2000</f>
        <v>0.0181395</v>
      </c>
    </row>
    <row r="13" spans="2:4" ht="12.75">
      <c r="B13" s="86" t="s">
        <v>43</v>
      </c>
      <c r="C13" s="91">
        <f>B5/100*'Crop Manure Nutrient Calculator'!D12/1000/'Crop Manure Nutrient Calculator'!D20*'Crop Manure Nutrient Calculator'!D26*2000</f>
        <v>3.338129496402878</v>
      </c>
      <c r="D13" s="91">
        <f>B6/100*'Crop Manure Nutrient Calculator'!D12/1000/'Crop Manure Nutrient Calculator'!D20*'Crop Manure Nutrient Calculator'!D28*2000</f>
        <v>1.0431654676258995</v>
      </c>
    </row>
    <row r="14" spans="2:4" ht="12.75">
      <c r="B14" s="86" t="s">
        <v>44</v>
      </c>
      <c r="C14" s="91">
        <f>B5/100*'Crop Manure Nutrient Calculator'!D12/1000*'Crop Manure Nutrient Calculator'!D26</f>
        <v>0.01392</v>
      </c>
      <c r="D14" s="91">
        <f>B6/100*'Crop Manure Nutrient Calculator'!D12/1000*'Crop Manure Nutrient Calculator'!D28</f>
        <v>0.00435</v>
      </c>
    </row>
    <row r="16" ht="12.75">
      <c r="A16" s="86" t="s">
        <v>73</v>
      </c>
    </row>
    <row r="18" ht="12.75">
      <c r="A18" s="86" t="s">
        <v>74</v>
      </c>
    </row>
    <row r="19" spans="1:2" ht="12.75">
      <c r="A19" s="86" t="s">
        <v>13</v>
      </c>
      <c r="B19" s="92" t="s">
        <v>68</v>
      </c>
    </row>
    <row r="20" spans="1:2" ht="12.75">
      <c r="A20" s="87" t="s">
        <v>14</v>
      </c>
      <c r="B20" s="93">
        <v>100</v>
      </c>
    </row>
    <row r="21" spans="1:2" ht="12.75">
      <c r="A21" s="87" t="s">
        <v>15</v>
      </c>
      <c r="B21" s="93">
        <v>65</v>
      </c>
    </row>
    <row r="22" spans="1:2" ht="12.75">
      <c r="A22" s="87" t="s">
        <v>16</v>
      </c>
      <c r="B22" s="93">
        <v>53</v>
      </c>
    </row>
    <row r="23" spans="1:2" ht="12.75">
      <c r="A23" s="87" t="s">
        <v>17</v>
      </c>
      <c r="B23" s="93">
        <v>41</v>
      </c>
    </row>
    <row r="24" spans="1:2" ht="12.75">
      <c r="A24" s="87" t="s">
        <v>18</v>
      </c>
      <c r="B24" s="93">
        <v>29</v>
      </c>
    </row>
    <row r="25" spans="1:2" ht="12.75">
      <c r="A25" s="87" t="s">
        <v>19</v>
      </c>
      <c r="B25" s="93">
        <v>17</v>
      </c>
    </row>
    <row r="26" spans="1:2" ht="12.75">
      <c r="A26" s="87" t="s">
        <v>20</v>
      </c>
      <c r="B26" s="94">
        <v>0</v>
      </c>
    </row>
    <row r="27" spans="1:2" ht="12.75">
      <c r="A27" s="87" t="s">
        <v>21</v>
      </c>
      <c r="B27" s="95">
        <v>0</v>
      </c>
    </row>
    <row r="28" ht="12.75">
      <c r="B28" s="88"/>
    </row>
    <row r="29" spans="1:2" ht="12.75">
      <c r="A29" s="87" t="str">
        <f>'Crop Manure Nutrient Calculator'!D38</f>
        <v>Spring incorporated within 3 days</v>
      </c>
      <c r="B29" s="88">
        <f>INDEX(A20:B27,MATCH(A29,A20:A27,0),2)</f>
        <v>41</v>
      </c>
    </row>
    <row r="31" ht="12.75">
      <c r="A31" s="96" t="s">
        <v>82</v>
      </c>
    </row>
    <row r="32" spans="2:3" ht="12.75">
      <c r="B32" s="97" t="s">
        <v>87</v>
      </c>
      <c r="C32" s="96"/>
    </row>
    <row r="33" spans="1:3" ht="12.75">
      <c r="A33" s="87" t="s">
        <v>28</v>
      </c>
      <c r="B33" s="97">
        <v>35</v>
      </c>
      <c r="C33" s="98" t="s">
        <v>33</v>
      </c>
    </row>
    <row r="34" spans="1:3" ht="12.75">
      <c r="A34" s="87" t="s">
        <v>29</v>
      </c>
      <c r="B34" s="97">
        <v>55</v>
      </c>
      <c r="C34" s="98" t="s">
        <v>33</v>
      </c>
    </row>
    <row r="35" spans="1:3" ht="12.75">
      <c r="A35" s="87" t="s">
        <v>30</v>
      </c>
      <c r="B35" s="97">
        <v>35</v>
      </c>
      <c r="C35" s="98" t="s">
        <v>33</v>
      </c>
    </row>
    <row r="36" spans="1:3" ht="12.75">
      <c r="A36" s="87" t="s">
        <v>31</v>
      </c>
      <c r="B36" s="97">
        <v>30</v>
      </c>
      <c r="C36" s="98" t="s">
        <v>33</v>
      </c>
    </row>
    <row r="37" spans="1:3" ht="12.75">
      <c r="A37" s="87" t="s">
        <v>32</v>
      </c>
      <c r="B37" s="97">
        <v>35</v>
      </c>
      <c r="C37" s="98" t="s">
        <v>33</v>
      </c>
    </row>
    <row r="39" spans="1:3" ht="12.75">
      <c r="A39" s="87" t="s">
        <v>28</v>
      </c>
      <c r="B39" s="97">
        <v>25</v>
      </c>
      <c r="C39" s="87" t="s">
        <v>53</v>
      </c>
    </row>
    <row r="40" spans="1:3" ht="12.75">
      <c r="A40" s="87" t="s">
        <v>29</v>
      </c>
      <c r="B40" s="97">
        <v>55</v>
      </c>
      <c r="C40" s="87" t="s">
        <v>53</v>
      </c>
    </row>
    <row r="41" spans="1:3" ht="12.75">
      <c r="A41" s="87" t="s">
        <v>30</v>
      </c>
      <c r="B41" s="97">
        <v>25</v>
      </c>
      <c r="C41" s="87" t="s">
        <v>53</v>
      </c>
    </row>
    <row r="42" spans="1:3" ht="12.75">
      <c r="A42" s="87" t="s">
        <v>31</v>
      </c>
      <c r="B42" s="97">
        <v>25</v>
      </c>
      <c r="C42" s="87" t="s">
        <v>53</v>
      </c>
    </row>
    <row r="43" spans="1:3" ht="12.75">
      <c r="A43" s="87" t="s">
        <v>32</v>
      </c>
      <c r="B43" s="97">
        <v>25</v>
      </c>
      <c r="C43" s="87" t="s">
        <v>53</v>
      </c>
    </row>
    <row r="44" spans="1:3" ht="12.75">
      <c r="A44" s="98"/>
      <c r="B44" s="98"/>
      <c r="C44" s="97"/>
    </row>
    <row r="45" spans="1:2" ht="12.75">
      <c r="A45" s="99" t="str">
        <f>'Crop Manure Nutrient Calculator'!D4</f>
        <v>Cows</v>
      </c>
      <c r="B45" s="100">
        <f>IF('Crop Manure Nutrient Calculator'!D18&lt;18,(INDEX(A33:B37,MATCH(A45,A33:A37,0),2)),INDEX(A39:B43,MATCH(A45,A39:A43,0),2))</f>
        <v>35</v>
      </c>
    </row>
    <row r="46" spans="1:3" ht="12.75">
      <c r="A46" s="99"/>
      <c r="B46" s="100"/>
      <c r="C46" s="98"/>
    </row>
    <row r="47" spans="1:3" ht="12.75">
      <c r="A47" s="101" t="s">
        <v>75</v>
      </c>
      <c r="B47" s="100"/>
      <c r="C47" s="102" t="s">
        <v>9</v>
      </c>
    </row>
    <row r="48" spans="1:3" ht="12.75">
      <c r="A48" s="86" t="s">
        <v>52</v>
      </c>
      <c r="C48" s="86">
        <f>IF(OR(ISERROR(C49),ISERROR(C50),ISERROR(C51),ISERROR(C52),ISERROR(C53),ISERROR(C54),'Crop Manure Nutrient Calculator'!D36&lt;0,'Crop Manure Nutrient Calculator'!D36&gt;100000,'Crop Manure Nutrient Calculator'!D10&lt;0,'Crop Manure Nutrient Calculator'!D10&gt;=10000,'Crop Manure Nutrient Calculator'!D20&lt;=0,'Crop Manure Nutrient Calculator'!D20&gt;=10000),"",IF(AND('Crop Manure Nutrient Calculator'!D6="%",'Crop Manure Nutrient Calculator'!D34="tons"),C49,IF(AND('Crop Manure Nutrient Calculator'!D6="%",'Crop Manure Nutrient Calculator'!D34="gallons"),C50,IF(AND('Crop Manure Nutrient Calculator'!D6="lbs/ton",'Crop Manure Nutrient Calculator'!D34="tons"),C51,IF(AND('Crop Manure Nutrient Calculator'!D6="lbs/ton",'Crop Manure Nutrient Calculator'!D34="gallons"),C52,IF(AND('Crop Manure Nutrient Calculator'!D6="lbs/1000 gallons",'Crop Manure Nutrient Calculator'!D34="tons"),C53,C54))))))</f>
        <v>22.14</v>
      </c>
    </row>
    <row r="49" spans="1:3" ht="12.75">
      <c r="A49" s="86"/>
      <c r="B49" s="86" t="s">
        <v>39</v>
      </c>
      <c r="C49" s="87">
        <f>B29/100*'Crop Manure Nutrient Calculator'!D10/100*2000*'Crop Manure Nutrient Calculator'!D36</f>
        <v>442.8</v>
      </c>
    </row>
    <row r="50" spans="2:3" ht="12.75">
      <c r="B50" s="86" t="s">
        <v>40</v>
      </c>
      <c r="C50" s="87">
        <f>B29/100*'Crop Manure Nutrient Calculator'!D10/100*'Crop Manure Nutrient Calculator'!D20*'Crop Manure Nutrient Calculator'!D36</f>
        <v>1.846476</v>
      </c>
    </row>
    <row r="51" spans="2:3" ht="12.75">
      <c r="B51" s="86" t="s">
        <v>41</v>
      </c>
      <c r="C51" s="87">
        <f>B29/100*'Crop Manure Nutrient Calculator'!D10*'Crop Manure Nutrient Calculator'!D36</f>
        <v>22.14</v>
      </c>
    </row>
    <row r="52" spans="2:3" ht="12.75">
      <c r="B52" s="86" t="s">
        <v>42</v>
      </c>
      <c r="C52" s="87">
        <f>B29/100*'Crop Manure Nutrient Calculator'!D20*'Crop Manure Nutrient Calculator'!D36*'Crop Manure Nutrient Calculator'!D10/2000</f>
        <v>0.0923238</v>
      </c>
    </row>
    <row r="53" spans="2:3" ht="12.75">
      <c r="B53" s="86" t="s">
        <v>43</v>
      </c>
      <c r="C53" s="87">
        <f>B29/100*'Crop Manure Nutrient Calculator'!D10/1000*'Crop Manure Nutrient Calculator'!D36/'Crop Manure Nutrient Calculator'!D20*2000</f>
        <v>5.309352517985611</v>
      </c>
    </row>
    <row r="54" spans="2:3" ht="12.75">
      <c r="B54" s="86" t="s">
        <v>44</v>
      </c>
      <c r="C54" s="87">
        <f>B29/100*'Crop Manure Nutrient Calculator'!D10/1000*'Crop Manure Nutrient Calculator'!D36</f>
        <v>0.02214</v>
      </c>
    </row>
    <row r="56" spans="1:3" ht="12.75">
      <c r="A56" s="86" t="s">
        <v>54</v>
      </c>
      <c r="C56" s="103">
        <f>IF(OR(ISERROR(C57),ISERROR(C58),ISERROR(C59),ISERROR(C60),ISERROR(C61),ISERROR(C62),'Crop Manure Nutrient Calculator'!D12&lt;0,'Crop Manure Nutrient Calculator'!D12&gt;=10000,'Crop Manure Nutrient Calculator'!D18&lt;=0,'Crop Manure Nutrient Calculator'!D18&gt;=10000,'Crop Manure Nutrient Calculator'!D20&lt;=0,'Crop Manure Nutrient Calculator'!D20&gt;=10000,'Crop Manure Nutrient Calculator'!D36&lt;0,'Crop Manure Nutrient Calculator'!D36&gt;100000),"",IF(AND('Crop Manure Nutrient Calculator'!D6="%",'Crop Manure Nutrient Calculator'!D34="tons"),C57,IF(AND('Crop Manure Nutrient Calculator'!D6="%",'Crop Manure Nutrient Calculator'!D34="gallons"),C58,IF(AND('Crop Manure Nutrient Calculator'!D6="lbs/ton",'Crop Manure Nutrient Calculator'!D34="tons"),C59,IF(AND('Crop Manure Nutrient Calculator'!D6="lbs/ton",'Crop Manure Nutrient Calculator'!D34="gallons"),C60,IF(AND('Crop Manure Nutrient Calculator'!D6="lbs/1000 gallons",'Crop Manure Nutrient Calculator'!D34="tons"),C61,C62))))))</f>
        <v>30.449999999999996</v>
      </c>
    </row>
    <row r="57" spans="2:3" ht="12.75">
      <c r="B57" s="86" t="s">
        <v>39</v>
      </c>
      <c r="C57" s="87">
        <f>B45/100*'Crop Manure Nutrient Calculator'!D12/100*2000*'Crop Manure Nutrient Calculator'!D36</f>
        <v>608.9999999999999</v>
      </c>
    </row>
    <row r="58" spans="2:3" ht="12.75">
      <c r="B58" s="86" t="s">
        <v>40</v>
      </c>
      <c r="C58" s="87">
        <f>B45/100*'Crop Manure Nutrient Calculator'!D12/100*'Crop Manure Nutrient Calculator'!D20*'Crop Manure Nutrient Calculator'!D36</f>
        <v>2.5395299999999996</v>
      </c>
    </row>
    <row r="59" spans="2:3" ht="12.75">
      <c r="B59" s="86" t="s">
        <v>41</v>
      </c>
      <c r="C59" s="87">
        <f>B45/100*'Crop Manure Nutrient Calculator'!D12*'Crop Manure Nutrient Calculator'!D36</f>
        <v>30.449999999999996</v>
      </c>
    </row>
    <row r="60" spans="2:3" ht="12.75">
      <c r="B60" s="86" t="s">
        <v>42</v>
      </c>
      <c r="C60" s="87">
        <f>B45/100*'Crop Manure Nutrient Calculator'!D20*'Crop Manure Nutrient Calculator'!D36*'Crop Manure Nutrient Calculator'!D12/2000</f>
        <v>0.1269765</v>
      </c>
    </row>
    <row r="61" spans="2:3" ht="12.75">
      <c r="B61" s="86" t="s">
        <v>43</v>
      </c>
      <c r="C61" s="87">
        <f>B45/100*'Crop Manure Nutrient Calculator'!D12/1000*'Crop Manure Nutrient Calculator'!D36/'Crop Manure Nutrient Calculator'!D20*2000</f>
        <v>7.302158273381294</v>
      </c>
    </row>
    <row r="62" spans="2:3" ht="12.75">
      <c r="B62" s="86" t="s">
        <v>44</v>
      </c>
      <c r="C62" s="87">
        <f>B45/100*'Crop Manure Nutrient Calculator'!D12/1000*'Crop Manure Nutrient Calculator'!D36</f>
        <v>0.030449999999999994</v>
      </c>
    </row>
    <row r="63" ht="12.75">
      <c r="B63" s="86"/>
    </row>
    <row r="64" spans="1:3" ht="12.75">
      <c r="A64" s="86" t="s">
        <v>76</v>
      </c>
      <c r="B64" s="86"/>
      <c r="C64" s="86">
        <f>C48+C56</f>
        <v>52.589999999999996</v>
      </c>
    </row>
    <row r="66" spans="1:3" ht="12.75">
      <c r="A66" s="86" t="s">
        <v>55</v>
      </c>
      <c r="C66" s="86">
        <f>IF(OR(ISERROR(C67),ISERROR(C68),ISERROR(C69),ISERROR(C70),ISERROR(C71),ISERROR(C72),'Crop Manure Nutrient Calculator'!D14&lt;0,'Crop Manure Nutrient Calculator'!D14&gt;=10000,'Crop Manure Nutrient Calculator'!D20&lt;=0,'Crop Manure Nutrient Calculator'!D20&gt;=10000,'Crop Manure Nutrient Calculator'!D36&lt;0,'Crop Manure Nutrient Calculator'!D36&gt;100000),"",IF(AND('Crop Manure Nutrient Calculator'!D6="%",'Crop Manure Nutrient Calculator'!D34="tons"),C67,IF(AND('Crop Manure Nutrient Calculator'!D6="%",'Crop Manure Nutrient Calculator'!D34="gallons"),C68,IF(AND('Crop Manure Nutrient Calculator'!D6="lbs/ton",'Crop Manure Nutrient Calculator'!D34="tons"),C69,IF(AND('Crop Manure Nutrient Calculator'!D6="lbs/ton",'Crop Manure Nutrient Calculator'!D34="gallons"),C70,IF(AND('Crop Manure Nutrient Calculator'!D6="lbs/1000 gallons",'Crop Manure Nutrient Calculator'!D34="tons"),C71,C72))))))</f>
        <v>60</v>
      </c>
    </row>
    <row r="67" spans="2:3" ht="12.75">
      <c r="B67" s="86" t="s">
        <v>39</v>
      </c>
      <c r="C67" s="87">
        <f>'Crop Manure Nutrient Calculator'!D14/100*2000*'Crop Manure Nutrient Calculator'!D36</f>
        <v>1200</v>
      </c>
    </row>
    <row r="68" spans="2:3" ht="12.75">
      <c r="B68" s="86" t="s">
        <v>40</v>
      </c>
      <c r="C68" s="87">
        <f>'Crop Manure Nutrient Calculator'!D14/100*'Crop Manure Nutrient Calculator'!D20*'Crop Manure Nutrient Calculator'!D36</f>
        <v>5.0040000000000004</v>
      </c>
    </row>
    <row r="69" spans="2:3" ht="12.75">
      <c r="B69" s="86" t="s">
        <v>41</v>
      </c>
      <c r="C69" s="87">
        <f>'Crop Manure Nutrient Calculator'!D14*'Crop Manure Nutrient Calculator'!D36</f>
        <v>60</v>
      </c>
    </row>
    <row r="70" spans="2:3" ht="12.75">
      <c r="B70" s="86" t="s">
        <v>42</v>
      </c>
      <c r="C70" s="87">
        <f>'Crop Manure Nutrient Calculator'!D36*'Crop Manure Nutrient Calculator'!D20*'Crop Manure Nutrient Calculator'!D14/2000</f>
        <v>0.2502</v>
      </c>
    </row>
    <row r="71" spans="2:3" ht="12.75">
      <c r="B71" s="86" t="s">
        <v>43</v>
      </c>
      <c r="C71" s="87">
        <f>'Crop Manure Nutrient Calculator'!D14/1000*'Crop Manure Nutrient Calculator'!D36/'Crop Manure Nutrient Calculator'!D20*2000</f>
        <v>14.388489208633093</v>
      </c>
    </row>
    <row r="72" spans="2:3" ht="12.75">
      <c r="B72" s="86" t="s">
        <v>44</v>
      </c>
      <c r="C72" s="87">
        <f>'Crop Manure Nutrient Calculator'!D14/1000*'Crop Manure Nutrient Calculator'!D36</f>
        <v>0.06</v>
      </c>
    </row>
    <row r="74" spans="1:3" ht="12.75">
      <c r="A74" s="86" t="s">
        <v>56</v>
      </c>
      <c r="C74" s="86">
        <f>IF(OR(ISERROR(C75),ISERROR(C76),ISERROR(C77),ISERROR(C78),ISERROR(C79),ISERROR(C80),'Crop Manure Nutrient Calculator'!D16&lt;0,'Crop Manure Nutrient Calculator'!D16&gt;=10000,'Crop Manure Nutrient Calculator'!D20&lt;=0,'Crop Manure Nutrient Calculator'!D20&gt;=10000,'Crop Manure Nutrient Calculator'!D36&lt;0,'Crop Manure Nutrient Calculator'!D36&gt;100000),"",IF(AND('Crop Manure Nutrient Calculator'!D6="%",'Crop Manure Nutrient Calculator'!D34="tons"),C75,IF(AND('Crop Manure Nutrient Calculator'!D6="%",'Crop Manure Nutrient Calculator'!D34="gallons"),C76,IF(AND('Crop Manure Nutrient Calculator'!D6="lbs/ton",'Crop Manure Nutrient Calculator'!D34="tons"),C77,IF(AND('Crop Manure Nutrient Calculator'!D6="lbs/ton",'Crop Manure Nutrient Calculator'!D34="gallons"),C78,IF(AND('Crop Manure Nutrient Calculator'!D6="lbs/1000 gallons",'Crop Manure Nutrient Calculator'!D34="tons"),C79,C80))))))</f>
        <v>69</v>
      </c>
    </row>
    <row r="75" spans="2:3" ht="12.75">
      <c r="B75" s="86" t="s">
        <v>39</v>
      </c>
      <c r="C75" s="87">
        <f>'Crop Manure Nutrient Calculator'!D16/100*2000*'Crop Manure Nutrient Calculator'!D36</f>
        <v>1380</v>
      </c>
    </row>
    <row r="76" spans="2:3" ht="12.75">
      <c r="B76" s="86" t="s">
        <v>40</v>
      </c>
      <c r="C76" s="87">
        <f>'Crop Manure Nutrient Calculator'!D16/100*'Crop Manure Nutrient Calculator'!D20*'Crop Manure Nutrient Calculator'!D36</f>
        <v>5.7546</v>
      </c>
    </row>
    <row r="77" spans="2:3" ht="12.75">
      <c r="B77" s="86" t="s">
        <v>41</v>
      </c>
      <c r="C77" s="87">
        <f>'Crop Manure Nutrient Calculator'!D16*'Crop Manure Nutrient Calculator'!D36</f>
        <v>69</v>
      </c>
    </row>
    <row r="78" spans="2:3" ht="12.75">
      <c r="B78" s="86" t="s">
        <v>42</v>
      </c>
      <c r="C78" s="87">
        <f>'Crop Manure Nutrient Calculator'!D36*'Crop Manure Nutrient Calculator'!D20*'Crop Manure Nutrient Calculator'!D16/2000</f>
        <v>0.28773</v>
      </c>
    </row>
    <row r="79" spans="2:3" ht="12.75">
      <c r="B79" s="86" t="s">
        <v>43</v>
      </c>
      <c r="C79" s="87">
        <f>'Crop Manure Nutrient Calculator'!D16/1000*'Crop Manure Nutrient Calculator'!D36/'Crop Manure Nutrient Calculator'!D20*2000</f>
        <v>16.54676258992806</v>
      </c>
    </row>
    <row r="80" spans="2:3" ht="12.75">
      <c r="B80" s="86" t="s">
        <v>44</v>
      </c>
      <c r="C80" s="87">
        <f>'Crop Manure Nutrient Calculator'!D16/1000*'Crop Manure Nutrient Calculator'!D36</f>
        <v>0.069</v>
      </c>
    </row>
    <row r="81" spans="1:3" ht="12.75">
      <c r="A81" s="101"/>
      <c r="B81" s="100"/>
      <c r="C81" s="98"/>
    </row>
    <row r="82" ht="12.75">
      <c r="A82" s="86" t="s">
        <v>77</v>
      </c>
    </row>
    <row r="83" spans="1:4" ht="12.75">
      <c r="A83" s="97"/>
      <c r="B83" s="97" t="s">
        <v>84</v>
      </c>
      <c r="C83" s="97" t="s">
        <v>85</v>
      </c>
      <c r="D83" s="97" t="s">
        <v>86</v>
      </c>
    </row>
    <row r="84" spans="1:4" ht="12.75">
      <c r="A84" s="86" t="s">
        <v>59</v>
      </c>
      <c r="B84" s="98">
        <v>35</v>
      </c>
      <c r="C84" s="87">
        <v>12</v>
      </c>
      <c r="D84" s="87">
        <v>5</v>
      </c>
    </row>
    <row r="85" spans="1:4" ht="12.75">
      <c r="A85" s="86" t="s">
        <v>63</v>
      </c>
      <c r="B85" s="98">
        <v>25</v>
      </c>
      <c r="C85" s="87">
        <v>12</v>
      </c>
      <c r="D85" s="87">
        <v>5</v>
      </c>
    </row>
    <row r="86" spans="1:4" ht="12.75">
      <c r="A86" s="86" t="s">
        <v>58</v>
      </c>
      <c r="B86" s="98">
        <v>55</v>
      </c>
      <c r="C86" s="87">
        <v>12</v>
      </c>
      <c r="D86" s="87">
        <v>5</v>
      </c>
    </row>
    <row r="87" spans="1:4" ht="12.75">
      <c r="A87" s="86" t="s">
        <v>64</v>
      </c>
      <c r="B87" s="98">
        <v>55</v>
      </c>
      <c r="C87" s="87">
        <v>12</v>
      </c>
      <c r="D87" s="87">
        <v>5</v>
      </c>
    </row>
    <row r="88" spans="1:4" ht="12.75">
      <c r="A88" s="86" t="s">
        <v>60</v>
      </c>
      <c r="B88" s="98">
        <v>35</v>
      </c>
      <c r="C88" s="87">
        <v>12</v>
      </c>
      <c r="D88" s="87">
        <v>5</v>
      </c>
    </row>
    <row r="89" spans="1:4" ht="12.75">
      <c r="A89" s="86" t="s">
        <v>65</v>
      </c>
      <c r="B89" s="98">
        <v>25</v>
      </c>
      <c r="C89" s="87">
        <v>12</v>
      </c>
      <c r="D89" s="87">
        <v>5</v>
      </c>
    </row>
    <row r="90" spans="1:4" ht="12.75">
      <c r="A90" s="86" t="s">
        <v>61</v>
      </c>
      <c r="B90" s="98">
        <v>30</v>
      </c>
      <c r="C90" s="87">
        <v>12</v>
      </c>
      <c r="D90" s="87">
        <v>5</v>
      </c>
    </row>
    <row r="91" spans="1:4" ht="12.75">
      <c r="A91" s="86" t="s">
        <v>66</v>
      </c>
      <c r="B91" s="98">
        <v>25</v>
      </c>
      <c r="C91" s="87">
        <v>12</v>
      </c>
      <c r="D91" s="87">
        <v>5</v>
      </c>
    </row>
    <row r="92" spans="1:4" ht="12.75">
      <c r="A92" s="86" t="s">
        <v>62</v>
      </c>
      <c r="B92" s="98">
        <v>35</v>
      </c>
      <c r="C92" s="87">
        <v>12</v>
      </c>
      <c r="D92" s="87">
        <v>5</v>
      </c>
    </row>
    <row r="93" spans="1:4" ht="12.75">
      <c r="A93" s="86" t="s">
        <v>67</v>
      </c>
      <c r="B93" s="98">
        <v>25</v>
      </c>
      <c r="C93" s="87">
        <v>12</v>
      </c>
      <c r="D93" s="87">
        <v>5</v>
      </c>
    </row>
    <row r="95" spans="1:5" ht="12.75">
      <c r="A95" s="86" t="s">
        <v>78</v>
      </c>
      <c r="B95" s="89" t="s">
        <v>9</v>
      </c>
      <c r="E95" s="86" t="s">
        <v>88</v>
      </c>
    </row>
    <row r="96" spans="1:7" ht="12.75">
      <c r="A96" s="86" t="s">
        <v>35</v>
      </c>
      <c r="B96" s="87">
        <f>'Crop Manure Nutrient Calculator'!D54</f>
        <v>90</v>
      </c>
      <c r="F96" s="86" t="s">
        <v>89</v>
      </c>
      <c r="G96" s="86" t="s">
        <v>90</v>
      </c>
    </row>
    <row r="97" spans="1:7" ht="12.75">
      <c r="A97" s="86" t="s">
        <v>79</v>
      </c>
      <c r="B97" s="87">
        <f>'Crop Manure Nutrient Calculator'!D56</f>
        <v>20</v>
      </c>
      <c r="D97" s="86" t="s">
        <v>94</v>
      </c>
      <c r="E97" s="104">
        <f>ROUND(C7,0)</f>
        <v>18</v>
      </c>
      <c r="F97" s="105">
        <f>ROUND(C48,0)</f>
        <v>22</v>
      </c>
      <c r="G97" s="105">
        <f>ROUND(C56,0)</f>
        <v>30</v>
      </c>
    </row>
    <row r="98" spans="1:5" ht="12.75">
      <c r="A98" s="86" t="s">
        <v>80</v>
      </c>
      <c r="B98" s="87">
        <f>'Crop Manure Nutrient Calculator'!D58</f>
        <v>45</v>
      </c>
      <c r="D98" s="86" t="s">
        <v>91</v>
      </c>
      <c r="E98" s="105">
        <f>B96</f>
        <v>90</v>
      </c>
    </row>
    <row r="99" spans="4:5" ht="12.75">
      <c r="D99" s="86" t="s">
        <v>95</v>
      </c>
      <c r="E99" s="105">
        <f>ROUND(C66,0)</f>
        <v>60</v>
      </c>
    </row>
    <row r="100" spans="1:5" ht="12.75">
      <c r="A100" s="86" t="s">
        <v>83</v>
      </c>
      <c r="D100" s="86" t="s">
        <v>92</v>
      </c>
      <c r="E100" s="105">
        <f>B97</f>
        <v>20</v>
      </c>
    </row>
    <row r="101" spans="1:5" ht="12.75">
      <c r="A101" s="86" t="s">
        <v>35</v>
      </c>
      <c r="B101" s="87">
        <f>IF(AND(ISNUMBER(B96),ISNUMBER(C64),ISNUMBER(C7),B96&gt;=0),ROUND((C64+C7-B96),0),"")</f>
        <v>-19</v>
      </c>
      <c r="D101" s="86" t="s">
        <v>96</v>
      </c>
      <c r="E101" s="105">
        <f>ROUND(C74,0)</f>
        <v>69</v>
      </c>
    </row>
    <row r="102" spans="1:5" ht="14.25">
      <c r="A102" s="86" t="s">
        <v>126</v>
      </c>
      <c r="B102" s="87">
        <f>IF(AND(ISNUMBER(C66),ISNUMBER(B97),B97&gt;=0),ROUND((C66-B97),0),"")</f>
        <v>40</v>
      </c>
      <c r="D102" s="86" t="s">
        <v>93</v>
      </c>
      <c r="E102" s="105">
        <f>B98</f>
        <v>45</v>
      </c>
    </row>
    <row r="103" spans="1:2" ht="14.25">
      <c r="A103" s="86" t="s">
        <v>127</v>
      </c>
      <c r="B103" s="87">
        <f>IF(AND(ISNUMBER(C74),ISNUMBER(B98),B98&gt;=0),ROUND((C74-B98),0),"")</f>
        <v>24</v>
      </c>
    </row>
    <row r="105" spans="1:4" ht="12.75">
      <c r="A105" s="86" t="s">
        <v>104</v>
      </c>
      <c r="B105" s="89" t="s">
        <v>99</v>
      </c>
      <c r="D105" s="86"/>
    </row>
    <row r="106" spans="1:7" ht="12.75">
      <c r="A106" s="86" t="s">
        <v>101</v>
      </c>
      <c r="B106" s="106">
        <f>'Crop Manure Nutrient Calculator'!J8*'Crop Manure Nutrient Calculator'!F26</f>
        <v>5.289599999999999</v>
      </c>
      <c r="E106" s="86" t="s">
        <v>111</v>
      </c>
      <c r="F106" s="107"/>
      <c r="G106" s="107"/>
    </row>
    <row r="107" spans="1:7" ht="12.75">
      <c r="A107" s="86" t="s">
        <v>102</v>
      </c>
      <c r="B107" s="106">
        <f>'Crop Manure Nutrient Calculator'!J8*'Crop Manure Nutrient Calculator'!F28</f>
        <v>1.6529999999999998</v>
      </c>
      <c r="E107" s="108" t="s">
        <v>115</v>
      </c>
      <c r="F107" s="108" t="s">
        <v>89</v>
      </c>
      <c r="G107" s="109" t="s">
        <v>116</v>
      </c>
    </row>
    <row r="108" spans="1:7" ht="12.75">
      <c r="A108" s="86" t="s">
        <v>103</v>
      </c>
      <c r="B108" s="110">
        <f>B106+B107</f>
        <v>6.942599999999999</v>
      </c>
      <c r="D108" s="86" t="s">
        <v>114</v>
      </c>
      <c r="E108" s="111">
        <f>ROUND(B108,0)</f>
        <v>7</v>
      </c>
      <c r="F108" s="111">
        <f>ROUND(B110,0)</f>
        <v>8</v>
      </c>
      <c r="G108" s="111">
        <f>ROUND(B111,0)</f>
        <v>12</v>
      </c>
    </row>
    <row r="109" spans="4:7" ht="12.75">
      <c r="D109" s="86" t="s">
        <v>112</v>
      </c>
      <c r="E109" s="111">
        <f>ROUND(B114,0)</f>
        <v>16</v>
      </c>
      <c r="F109" s="105"/>
      <c r="G109" s="105"/>
    </row>
    <row r="110" spans="1:7" ht="12.75">
      <c r="A110" s="86" t="s">
        <v>105</v>
      </c>
      <c r="B110" s="106">
        <f>'Crop Manure Nutrient Calculator'!J8*'Crop Manure Nutrient Calculator'!F41</f>
        <v>8.4132</v>
      </c>
      <c r="D110" s="86" t="s">
        <v>113</v>
      </c>
      <c r="E110" s="111">
        <f>ROUND(B115,0)</f>
        <v>13</v>
      </c>
      <c r="F110" s="105"/>
      <c r="G110" s="105"/>
    </row>
    <row r="111" spans="1:5" ht="12.75">
      <c r="A111" s="86" t="s">
        <v>106</v>
      </c>
      <c r="B111" s="106">
        <f>'Crop Manure Nutrient Calculator'!J8*'Crop Manure Nutrient Calculator'!F43</f>
        <v>11.570999999999998</v>
      </c>
      <c r="D111" s="86" t="s">
        <v>100</v>
      </c>
      <c r="E111" s="112">
        <f>ROUND(B117,0)</f>
        <v>56</v>
      </c>
    </row>
    <row r="112" spans="1:2" ht="12.75">
      <c r="A112" s="86" t="s">
        <v>107</v>
      </c>
      <c r="B112" s="87">
        <f>B110+B111</f>
        <v>19.984199999999998</v>
      </c>
    </row>
    <row r="114" spans="1:2" ht="12.75">
      <c r="A114" s="86" t="s">
        <v>108</v>
      </c>
      <c r="B114" s="106">
        <f>'Crop Manure Nutrient Calculator'!J10*'Crop Manure Nutrient Calculator'!F47</f>
        <v>16.200000000000003</v>
      </c>
    </row>
    <row r="115" spans="1:2" ht="12.75">
      <c r="A115" s="86" t="s">
        <v>109</v>
      </c>
      <c r="B115" s="106">
        <f>'Crop Manure Nutrient Calculator'!J12*'Crop Manure Nutrient Calculator'!F49</f>
        <v>13.11</v>
      </c>
    </row>
    <row r="117" spans="1:2" ht="12.75">
      <c r="A117" s="86" t="s">
        <v>110</v>
      </c>
      <c r="B117" s="106">
        <f>B108+B112+B114+B115</f>
        <v>56.2368</v>
      </c>
    </row>
  </sheetData>
  <sheetProtection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gla1</dc:creator>
  <cp:keywords/>
  <dc:description/>
  <cp:lastModifiedBy>Fay Benson</cp:lastModifiedBy>
  <cp:lastPrinted>2005-10-11T20:52:31Z</cp:lastPrinted>
  <dcterms:created xsi:type="dcterms:W3CDTF">2003-12-11T16:37:01Z</dcterms:created>
  <dcterms:modified xsi:type="dcterms:W3CDTF">2008-02-07T20:23:42Z</dcterms:modified>
  <cp:category/>
  <cp:version/>
  <cp:contentType/>
  <cp:contentStatus/>
</cp:coreProperties>
</file>