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4815" activeTab="0"/>
  </bookViews>
  <sheets>
    <sheet name="Sheep flock" sheetId="1" r:id="rId1"/>
  </sheets>
  <definedNames>
    <definedName name="__123Graph_LBL_E" localSheetId="0" hidden="1">'Sheep flock'!$A$1:$A$1</definedName>
    <definedName name="G_ý_P__">'Sheep flock'!$A$1</definedName>
    <definedName name="_xlnm.Print_Area" localSheetId="0">'Sheep flock'!$A$1:$H$178</definedName>
    <definedName name="Print_Area_MI">'Sheep flock'!$A$1:$H$178</definedName>
  </definedNames>
  <calcPr fullCalcOnLoad="1"/>
</workbook>
</file>

<file path=xl/sharedStrings.xml><?xml version="1.0" encoding="utf-8"?>
<sst xmlns="http://schemas.openxmlformats.org/spreadsheetml/2006/main" count="290" uniqueCount="246">
  <si>
    <t>Price</t>
  </si>
  <si>
    <t>Number</t>
  </si>
  <si>
    <t/>
  </si>
  <si>
    <t>II.  Description of pastures and hay fields.</t>
  </si>
  <si>
    <t>Production of hay equivalent (tons/acre)</t>
  </si>
  <si>
    <t xml:space="preserve">  Acres</t>
  </si>
  <si>
    <t>cost, $/A</t>
  </si>
  <si>
    <t xml:space="preserve"> May</t>
  </si>
  <si>
    <t>June</t>
  </si>
  <si>
    <t>July</t>
  </si>
  <si>
    <t>August</t>
  </si>
  <si>
    <t xml:space="preserve">         3</t>
  </si>
  <si>
    <t>Total acres:</t>
  </si>
  <si>
    <t>January</t>
  </si>
  <si>
    <t>February</t>
  </si>
  <si>
    <t>March</t>
  </si>
  <si>
    <t>April</t>
  </si>
  <si>
    <t>May</t>
  </si>
  <si>
    <t>September</t>
  </si>
  <si>
    <t>October</t>
  </si>
  <si>
    <t>November</t>
  </si>
  <si>
    <t>December</t>
  </si>
  <si>
    <t>Total</t>
  </si>
  <si>
    <t>tons</t>
  </si>
  <si>
    <t>Hay purchased:</t>
  </si>
  <si>
    <t>acres or</t>
  </si>
  <si>
    <t>linear feet</t>
  </si>
  <si>
    <t>Subtotal:</t>
  </si>
  <si>
    <t xml:space="preserve">  Calculated size:</t>
  </si>
  <si>
    <t xml:space="preserve">  Owned size:</t>
  </si>
  <si>
    <t>Other items:</t>
  </si>
  <si>
    <t>Cost</t>
  </si>
  <si>
    <t>Subtotal</t>
  </si>
  <si>
    <t>Farmall M tractor</t>
  </si>
  <si>
    <t>Intn'l baler</t>
  </si>
  <si>
    <t>Rake</t>
  </si>
  <si>
    <t>Wagon</t>
  </si>
  <si>
    <t>Manure spreader</t>
  </si>
  <si>
    <t>Chev. pickup (4WD)</t>
  </si>
  <si>
    <t>Other</t>
  </si>
  <si>
    <t>Total capital investment:</t>
  </si>
  <si>
    <t>V.  Cash expenses.</t>
  </si>
  <si>
    <t>/hour</t>
  </si>
  <si>
    <t>Build. &amp;</t>
  </si>
  <si>
    <t>Land</t>
  </si>
  <si>
    <t>equipmt.</t>
  </si>
  <si>
    <t>Amount:</t>
  </si>
  <si>
    <t>% financed:</t>
  </si>
  <si>
    <t>Interest:</t>
  </si>
  <si>
    <t>Total cash expenses:</t>
  </si>
  <si>
    <t>VI.  Noncash expenses.</t>
  </si>
  <si>
    <t>/year</t>
  </si>
  <si>
    <t>Unpaid family labor:</t>
  </si>
  <si>
    <t>hours  @</t>
  </si>
  <si>
    <t>Interest on equity:</t>
  </si>
  <si>
    <t>Total:</t>
  </si>
  <si>
    <t xml:space="preserve">  Hay:</t>
  </si>
  <si>
    <t xml:space="preserve">  Total:</t>
  </si>
  <si>
    <t>Net farm income:</t>
  </si>
  <si>
    <t>ROLCM:</t>
  </si>
  <si>
    <t>IX.  Return to operator's labor &amp; management (labor income).</t>
  </si>
  <si>
    <t>Written by M.L. Thonney</t>
  </si>
  <si>
    <t>Initial release:</t>
  </si>
  <si>
    <t>Last update:</t>
  </si>
  <si>
    <t>Sheep Flock</t>
  </si>
  <si>
    <t>I.  Description of animals in flock during the year.</t>
  </si>
  <si>
    <t>Ewes</t>
  </si>
  <si>
    <t>Rams</t>
  </si>
  <si>
    <t>Ewe lamb rplcmnts</t>
  </si>
  <si>
    <t>Ram lamb rplcmnts</t>
  </si>
  <si>
    <t>Ewe lambs sold</t>
  </si>
  <si>
    <t>Ram lambs sold</t>
  </si>
  <si>
    <t>Cull ewes sold</t>
  </si>
  <si>
    <t>Cull rams sold</t>
  </si>
  <si>
    <t>Weaning</t>
  </si>
  <si>
    <t>wt, lb</t>
  </si>
  <si>
    <t>$/lb</t>
  </si>
  <si>
    <t>value</t>
  </si>
  <si>
    <t>Value</t>
  </si>
  <si>
    <t>per head</t>
  </si>
  <si>
    <t>lb</t>
  </si>
  <si>
    <t>Weather</t>
  </si>
  <si>
    <t>factor</t>
  </si>
  <si>
    <t>Total flock</t>
  </si>
  <si>
    <t>production</t>
  </si>
  <si>
    <t>Net hay</t>
  </si>
  <si>
    <t>Hay</t>
  </si>
  <si>
    <t>harvested,</t>
  </si>
  <si>
    <t>consumed</t>
  </si>
  <si>
    <t>Hay equiv.</t>
  </si>
  <si>
    <t>% BW</t>
  </si>
  <si>
    <t>times per</t>
  </si>
  <si>
    <t>years =</t>
  </si>
  <si>
    <t>Hay sold:</t>
  </si>
  <si>
    <t>Acres per ewe unit:</t>
  </si>
  <si>
    <t>Final</t>
  </si>
  <si>
    <t>Total lb</t>
  </si>
  <si>
    <t>Total tons</t>
  </si>
  <si>
    <t>Portable coral</t>
  </si>
  <si>
    <t>Scale</t>
  </si>
  <si>
    <t>Lambing jugs</t>
  </si>
  <si>
    <t>IV.  Capital investment other than land and sheep.</t>
  </si>
  <si>
    <t>Miscellaneous</t>
  </si>
  <si>
    <t>per foot</t>
  </si>
  <si>
    <t>cost</t>
  </si>
  <si>
    <t>square feet for hay</t>
  </si>
  <si>
    <t>/ewe unit</t>
  </si>
  <si>
    <t>Sheep</t>
  </si>
  <si>
    <t>Financing</t>
  </si>
  <si>
    <t xml:space="preserve">Inventory </t>
  </si>
  <si>
    <t>Sales:</t>
  </si>
  <si>
    <t>Inventory:</t>
  </si>
  <si>
    <t>Days in lactation/year:</t>
  </si>
  <si>
    <t>Market</t>
  </si>
  <si>
    <t>Department of Animal Science</t>
  </si>
  <si>
    <t>114 Morrison Hall</t>
  </si>
  <si>
    <t>Cornell University</t>
  </si>
  <si>
    <t>Ithaca, NY 14853-4801</t>
  </si>
  <si>
    <t>Fax:  607-255-9829</t>
  </si>
  <si>
    <t>Cornell Sheep Program web site:</t>
  </si>
  <si>
    <t>Percentage of excess forage harvested:</t>
  </si>
  <si>
    <t xml:space="preserve"> Value of land per acre:</t>
  </si>
  <si>
    <t>Ewe weight:</t>
  </si>
  <si>
    <t>Days</t>
  </si>
  <si>
    <t>TMR</t>
  </si>
  <si>
    <t>TMR purchased:</t>
  </si>
  <si>
    <t>DDM</t>
  </si>
  <si>
    <t>Ewes in flock:</t>
  </si>
  <si>
    <t>Lambing rate:</t>
  </si>
  <si>
    <t>times/year.</t>
  </si>
  <si>
    <t>DDM, lb</t>
  </si>
  <si>
    <t>Estimated</t>
  </si>
  <si>
    <t>Actual</t>
  </si>
  <si>
    <t>sheep @</t>
  </si>
  <si>
    <t>/sheep</t>
  </si>
  <si>
    <t>Pounds TMR/day of lactation/lamb:</t>
  </si>
  <si>
    <t>Tall grass + nitrogen  2</t>
  </si>
  <si>
    <t>Empire trefoil + timothy  2</t>
  </si>
  <si>
    <t>Bluegrass + white clover  3</t>
  </si>
  <si>
    <t>Lambs weaned per ewe per year:</t>
  </si>
  <si>
    <r>
      <t xml:space="preserve">or </t>
    </r>
    <r>
      <rPr>
        <b/>
        <sz val="10"/>
        <color indexed="56"/>
        <rFont val="Arial"/>
        <family val="2"/>
      </rPr>
      <t>sale</t>
    </r>
  </si>
  <si>
    <t>Building depreciation:</t>
  </si>
  <si>
    <t>Equipment depreciation:</t>
  </si>
  <si>
    <t>Hay purchased (computed):</t>
  </si>
  <si>
    <t>Gas, oil, fuel:</t>
  </si>
  <si>
    <t>Machinery repairs:</t>
  </si>
  <si>
    <t>Livestock registrations:</t>
  </si>
  <si>
    <t>Vet. &amp; supplies (computed):</t>
  </si>
  <si>
    <t>Pasture maint. (computed):</t>
  </si>
  <si>
    <t>Taxes (computed):</t>
  </si>
  <si>
    <t>Insurance:</t>
  </si>
  <si>
    <t>Telephone and electricity:</t>
  </si>
  <si>
    <t>Other:</t>
  </si>
  <si>
    <t>/acre</t>
  </si>
  <si>
    <t>minus cash expenses:</t>
  </si>
  <si>
    <t>minus depreciation:</t>
  </si>
  <si>
    <r>
      <t xml:space="preserve">equals </t>
    </r>
    <r>
      <rPr>
        <b/>
        <sz val="10"/>
        <rFont val="Arial"/>
        <family val="2"/>
      </rPr>
      <t>Net farm income:</t>
    </r>
  </si>
  <si>
    <r>
      <t xml:space="preserve">equals </t>
    </r>
    <r>
      <rPr>
        <b/>
        <sz val="10"/>
        <rFont val="Arial"/>
        <family val="2"/>
      </rPr>
      <t>Net cash income:</t>
    </r>
  </si>
  <si>
    <t>minus unpaid family labor:</t>
  </si>
  <si>
    <t>VII.  Net farm income (return to unpaid family labor and to operator's labor, capital &amp; management).</t>
  </si>
  <si>
    <t>Cash receipts:</t>
  </si>
  <si>
    <t>VIII.  Return to unpaid operator's labor, capital &amp; management (ROLCM).</t>
  </si>
  <si>
    <t>- possible return on equity:</t>
  </si>
  <si>
    <t>Flowchart for profit and loss from:  Harsh, S.B., L.J. Connor and G.D. Schwab.  1981.  Managing the</t>
  </si>
  <si>
    <t xml:space="preserve"> Farm Business.  Prentice-Hall, Inc., p. 125.</t>
  </si>
  <si>
    <t>Daily dig. dry matter (DDM) per ewe:</t>
  </si>
  <si>
    <t>TMR/hd</t>
  </si>
  <si>
    <t>TMR ingredients purchased:</t>
  </si>
  <si>
    <t>Per ton</t>
  </si>
  <si>
    <t>Permanent fence for:</t>
  </si>
  <si>
    <t>QuickFence:</t>
  </si>
  <si>
    <t>ElectroNet:</t>
  </si>
  <si>
    <t>Green house barn (10 square feet/ton of hay and 20 feet high).</t>
  </si>
  <si>
    <t>TMR/lb gain</t>
  </si>
  <si>
    <t>/square ft =</t>
  </si>
  <si>
    <t>Mower</t>
  </si>
  <si>
    <t>Capital repairs (computed):</t>
  </si>
  <si>
    <t>DDM in pasture (air dry):</t>
  </si>
  <si>
    <t xml:space="preserve">      DDM in hay (air dry):</t>
  </si>
  <si>
    <t>(TMR = total mixed ration, including fiber source like soy hulls)</t>
  </si>
  <si>
    <t>Rams/100 ewes:</t>
  </si>
  <si>
    <t>Ewe culling rate:</t>
  </si>
  <si>
    <t>Ram culling rate:</t>
  </si>
  <si>
    <t>Adult death loss per year:</t>
  </si>
  <si>
    <t>Management</t>
  </si>
  <si>
    <t>Species &amp; management</t>
  </si>
  <si>
    <t>(Only 1/3 of ewes bred per season under STAR system.)</t>
  </si>
  <si>
    <t>Lambs weaned/lambing:</t>
  </si>
  <si>
    <t>Fleece weight per adult</t>
  </si>
  <si>
    <t>Shearing costs:</t>
  </si>
  <si>
    <t xml:space="preserve">/sheep  </t>
  </si>
  <si>
    <t>Date:</t>
  </si>
  <si>
    <t>[Green cells are those you can change.]</t>
  </si>
  <si>
    <t>Postweaning lamb loss:</t>
  </si>
  <si>
    <t>Lamb weight from ewe:</t>
  </si>
  <si>
    <t>Replacement ewes:</t>
  </si>
  <si>
    <t>Replacement rams:</t>
  </si>
  <si>
    <t>Ewe lambs sold:</t>
  </si>
  <si>
    <t>Ram lambs sold:</t>
  </si>
  <si>
    <t>TMR for ewes:</t>
  </si>
  <si>
    <t>Total TMR:</t>
  </si>
  <si>
    <t>TMR gain</t>
  </si>
  <si>
    <t>square feet (extra space for equipment and lambing sheep)</t>
  </si>
  <si>
    <t>Interest rate:</t>
  </si>
  <si>
    <t>Hay needed</t>
  </si>
  <si>
    <t>Days fed TMR during gestation:</t>
  </si>
  <si>
    <t>Pounds of TMR fed per day during gestation:</t>
  </si>
  <si>
    <t>lb DDM</t>
  </si>
  <si>
    <t>(DDM = digestible dry matter)</t>
  </si>
  <si>
    <r>
      <t xml:space="preserve">equals </t>
    </r>
    <r>
      <rPr>
        <b/>
        <sz val="10"/>
        <rFont val="Arial"/>
        <family val="2"/>
      </rPr>
      <t>ROLCM</t>
    </r>
    <r>
      <rPr>
        <sz val="10"/>
        <rFont val="Arial"/>
        <family val="2"/>
      </rPr>
      <t>:</t>
    </r>
  </si>
  <si>
    <r>
      <t xml:space="preserve">equals </t>
    </r>
    <r>
      <rPr>
        <b/>
        <sz val="10"/>
        <rFont val="Arial"/>
        <family val="2"/>
      </rPr>
      <t>ROLM</t>
    </r>
    <r>
      <rPr>
        <sz val="10"/>
        <rFont val="Arial"/>
        <family val="2"/>
      </rPr>
      <t>:</t>
    </r>
  </si>
  <si>
    <t>Days of lactation/lambing:</t>
  </si>
  <si>
    <t>Excess or deficit of DDM:</t>
  </si>
  <si>
    <t>Mixer-grinder</t>
  </si>
  <si>
    <t>Fence</t>
  </si>
  <si>
    <t>TMR ingredients purchased (computed):</t>
  </si>
  <si>
    <t>Excess</t>
  </si>
  <si>
    <t>summer DDM</t>
  </si>
  <si>
    <t>Hired labor (from hours):</t>
  </si>
  <si>
    <t>Labor rate per hour:</t>
  </si>
  <si>
    <t>ewes above</t>
  </si>
  <si>
    <r>
      <t>-or-</t>
    </r>
    <r>
      <rPr>
        <sz val="10"/>
        <rFont val="Arial"/>
        <family val="2"/>
      </rPr>
      <t xml:space="preserve"> Hired labor (from number of ewes):</t>
    </r>
  </si>
  <si>
    <t>of capital investment per year</t>
  </si>
  <si>
    <t>hours per</t>
  </si>
  <si>
    <t xml:space="preserve"> hours</t>
  </si>
  <si>
    <t>White clover + Timothy   2</t>
  </si>
  <si>
    <t>per ewe:</t>
  </si>
  <si>
    <t>III.  Digestible dry matter (DDM) requirements, lb</t>
  </si>
  <si>
    <t>Version:</t>
  </si>
  <si>
    <t>equals</t>
  </si>
  <si>
    <t>hours.</t>
  </si>
  <si>
    <t>/lamb marketed</t>
  </si>
  <si>
    <t>Marketing:</t>
  </si>
  <si>
    <t>% equity:</t>
  </si>
  <si>
    <t>Sheep and wool:</t>
  </si>
  <si>
    <t>http://www.sheep.cornell.edu/</t>
  </si>
  <si>
    <t xml:space="preserve">Email:  </t>
  </si>
  <si>
    <t>mlt2@cornell.edu</t>
  </si>
  <si>
    <t>Days in jugs:</t>
  </si>
  <si>
    <t>Percentage of ewes lambing:</t>
  </si>
  <si>
    <t>Days lambing per period:</t>
  </si>
  <si>
    <t>Estimated jugs needed:</t>
  </si>
  <si>
    <t>Actual jugs owned:</t>
  </si>
  <si>
    <t>/day</t>
  </si>
  <si>
    <t>Telephone:  607-592-2541</t>
  </si>
  <si>
    <t>Copyright (c) 2009 by M.L. Thonney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</si>
</sst>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_)"/>
    <numFmt numFmtId="166" formatCode="0_)"/>
    <numFmt numFmtId="167" formatCode="0.00_)"/>
    <numFmt numFmtId="168" formatCode="d\ mmm\ yyyy\)"/>
    <numFmt numFmtId="169" formatCode="d\ mmm\ yyyy"/>
    <numFmt numFmtId="170" formatCode="0.0"/>
    <numFmt numFmtId="171" formatCode="&quot;$&quot;#,##0.0_);\(&quot;$&quot;#,##0.0\)"/>
    <numFmt numFmtId="172" formatCode="&quot;$&quot;#,##0.00"/>
    <numFmt numFmtId="173" formatCode="#,##0;[Red]#,##0"/>
    <numFmt numFmtId="174" formatCode="0_);\(0\)"/>
    <numFmt numFmtId="175" formatCode="0.0%"/>
    <numFmt numFmtId="176" formatCode="&quot;$&quot;#,##0"/>
    <numFmt numFmtId="177" formatCode="#,##0.0"/>
    <numFmt numFmtId="178" formatCode="dd\ mmmm\ yyyy\ h:mm\ AM/PM"/>
    <numFmt numFmtId="179" formatCode="dd\ mmmm\ yyyy"/>
    <numFmt numFmtId="180" formatCode="d\ mmmm\ yyyy"/>
  </numFmts>
  <fonts count="4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Courie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Courier"/>
      <family val="0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name val="Courier"/>
      <family val="0"/>
    </font>
    <font>
      <sz val="10"/>
      <color indexed="12"/>
      <name val="Courier"/>
      <family val="0"/>
    </font>
    <font>
      <b/>
      <sz val="10"/>
      <color indexed="12"/>
      <name val="Courier"/>
      <family val="0"/>
    </font>
    <font>
      <b/>
      <sz val="9"/>
      <color indexed="14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50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0" fillId="15" borderId="0" applyNumberFormat="0" applyBorder="0" applyAlignment="0" applyProtection="0"/>
    <xf numFmtId="0" fontId="34" fillId="16" borderId="1" applyNumberFormat="0" applyAlignment="0" applyProtection="0"/>
    <xf numFmtId="0" fontId="36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3" fontId="9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 applyProtection="1">
      <alignment horizontal="left"/>
      <protection/>
    </xf>
    <xf numFmtId="173" fontId="0" fillId="0" borderId="0" xfId="0" applyNumberFormat="1" applyBorder="1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/>
      <protection locked="0"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>
      <alignment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Alignment="1" applyProtection="1">
      <alignment horizontal="right"/>
      <protection locked="0"/>
    </xf>
    <xf numFmtId="9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7" fontId="10" fillId="0" borderId="0" xfId="0" applyNumberFormat="1" applyFont="1" applyFill="1" applyAlignment="1" applyProtection="1">
      <alignment/>
      <protection locked="0"/>
    </xf>
    <xf numFmtId="5" fontId="13" fillId="0" borderId="0" xfId="0" applyNumberFormat="1" applyFont="1" applyFill="1" applyAlignment="1" applyProtection="1">
      <alignment/>
      <protection/>
    </xf>
    <xf numFmtId="5" fontId="12" fillId="0" borderId="0" xfId="0" applyNumberFormat="1" applyFont="1" applyFill="1" applyAlignment="1" applyProtection="1">
      <alignment/>
      <protection/>
    </xf>
    <xf numFmtId="5" fontId="13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5" fontId="10" fillId="0" borderId="0" xfId="0" applyNumberFormat="1" applyFont="1" applyFill="1" applyAlignment="1" applyProtection="1">
      <alignment/>
      <protection locked="0"/>
    </xf>
    <xf numFmtId="172" fontId="10" fillId="0" borderId="0" xfId="0" applyNumberFormat="1" applyFont="1" applyFill="1" applyAlignment="1" applyProtection="1">
      <alignment/>
      <protection locked="0"/>
    </xf>
    <xf numFmtId="8" fontId="1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170" fontId="10" fillId="0" borderId="0" xfId="0" applyNumberFormat="1" applyFont="1" applyFill="1" applyBorder="1" applyAlignment="1" applyProtection="1">
      <alignment horizontal="left"/>
      <protection locked="0"/>
    </xf>
    <xf numFmtId="9" fontId="10" fillId="0" borderId="0" xfId="0" applyNumberFormat="1" applyFont="1" applyFill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5" fontId="7" fillId="0" borderId="1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 horizontal="right"/>
      <protection/>
    </xf>
    <xf numFmtId="165" fontId="6" fillId="0" borderId="10" xfId="0" applyNumberFormat="1" applyFont="1" applyFill="1" applyBorder="1" applyAlignment="1" applyProtection="1">
      <alignment/>
      <protection/>
    </xf>
    <xf numFmtId="5" fontId="6" fillId="0" borderId="10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Alignment="1" applyProtection="1">
      <alignment horizontal="center"/>
      <protection/>
    </xf>
    <xf numFmtId="5" fontId="6" fillId="0" borderId="11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7" fontId="10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9" fontId="10" fillId="0" borderId="0" xfId="0" applyNumberFormat="1" applyFont="1" applyFill="1" applyBorder="1" applyAlignment="1" applyProtection="1">
      <alignment horizontal="center"/>
      <protection locked="0"/>
    </xf>
    <xf numFmtId="175" fontId="10" fillId="0" borderId="0" xfId="0" applyNumberFormat="1" applyFont="1" applyFill="1" applyAlignment="1" applyProtection="1">
      <alignment/>
      <protection locked="0"/>
    </xf>
    <xf numFmtId="9" fontId="10" fillId="0" borderId="11" xfId="0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Alignment="1">
      <alignment/>
    </xf>
    <xf numFmtId="173" fontId="16" fillId="0" borderId="0" xfId="0" applyNumberFormat="1" applyFont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17" fillId="0" borderId="0" xfId="0" applyFont="1" applyAlignment="1">
      <alignment/>
    </xf>
    <xf numFmtId="173" fontId="17" fillId="0" borderId="0" xfId="0" applyNumberFormat="1" applyFont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Alignment="1">
      <alignment/>
    </xf>
    <xf numFmtId="173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73" fontId="18" fillId="0" borderId="0" xfId="0" applyNumberFormat="1" applyFont="1" applyBorder="1" applyAlignment="1">
      <alignment/>
    </xf>
    <xf numFmtId="0" fontId="15" fillId="0" borderId="13" xfId="0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0" fillId="5" borderId="14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center"/>
      <protection locked="0"/>
    </xf>
    <xf numFmtId="165" fontId="7" fillId="0" borderId="11" xfId="0" applyNumberFormat="1" applyFont="1" applyFill="1" applyBorder="1" applyAlignment="1" applyProtection="1">
      <alignment horizontal="center"/>
      <protection/>
    </xf>
    <xf numFmtId="0" fontId="10" fillId="5" borderId="15" xfId="0" applyFont="1" applyFill="1" applyBorder="1" applyAlignment="1" applyProtection="1">
      <alignment horizontal="center"/>
      <protection locked="0"/>
    </xf>
    <xf numFmtId="176" fontId="10" fillId="0" borderId="0" xfId="0" applyNumberFormat="1" applyFont="1" applyFill="1" applyAlignment="1" applyProtection="1">
      <alignment horizontal="right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right"/>
      <protection/>
    </xf>
    <xf numFmtId="3" fontId="10" fillId="5" borderId="14" xfId="0" applyNumberFormat="1" applyFont="1" applyFill="1" applyBorder="1" applyAlignment="1" applyProtection="1">
      <alignment horizontal="center"/>
      <protection locked="0"/>
    </xf>
    <xf numFmtId="3" fontId="10" fillId="5" borderId="0" xfId="0" applyNumberFormat="1" applyFont="1" applyFill="1" applyBorder="1" applyAlignment="1" applyProtection="1">
      <alignment horizontal="center"/>
      <protection locked="0"/>
    </xf>
    <xf numFmtId="3" fontId="10" fillId="5" borderId="1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5" borderId="15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0" fillId="5" borderId="16" xfId="0" applyFont="1" applyFill="1" applyBorder="1" applyAlignment="1" applyProtection="1">
      <alignment horizontal="right"/>
      <protection locked="0"/>
    </xf>
    <xf numFmtId="0" fontId="20" fillId="5" borderId="12" xfId="0" applyFont="1" applyFill="1" applyBorder="1" applyAlignment="1" applyProtection="1">
      <alignment horizontal="right"/>
      <protection locked="0"/>
    </xf>
    <xf numFmtId="0" fontId="20" fillId="5" borderId="17" xfId="0" applyFont="1" applyFill="1" applyBorder="1" applyAlignment="1" applyProtection="1">
      <alignment horizontal="right"/>
      <protection locked="0"/>
    </xf>
    <xf numFmtId="0" fontId="20" fillId="5" borderId="17" xfId="0" applyFont="1" applyFill="1" applyBorder="1" applyAlignment="1" applyProtection="1" quotePrefix="1">
      <alignment horizontal="right"/>
      <protection locked="0"/>
    </xf>
    <xf numFmtId="0" fontId="20" fillId="5" borderId="18" xfId="0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1" fontId="11" fillId="0" borderId="0" xfId="0" applyNumberFormat="1" applyFont="1" applyFill="1" applyBorder="1" applyAlignment="1" applyProtection="1">
      <alignment horizontal="right"/>
      <protection/>
    </xf>
    <xf numFmtId="177" fontId="1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1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6" fillId="0" borderId="11" xfId="0" applyFont="1" applyBorder="1" applyAlignment="1">
      <alignment/>
    </xf>
    <xf numFmtId="166" fontId="6" fillId="0" borderId="0" xfId="0" applyNumberFormat="1" applyFont="1" applyFill="1" applyAlignment="1" applyProtection="1">
      <alignment/>
      <protection/>
    </xf>
    <xf numFmtId="166" fontId="6" fillId="0" borderId="0" xfId="0" applyNumberFormat="1" applyFont="1" applyFill="1" applyAlignment="1" applyProtection="1">
      <alignment horizontal="right"/>
      <protection/>
    </xf>
    <xf numFmtId="5" fontId="6" fillId="0" borderId="0" xfId="0" applyNumberFormat="1" applyFont="1" applyFill="1" applyAlignment="1" applyProtection="1">
      <alignment horizontal="right"/>
      <protection/>
    </xf>
    <xf numFmtId="5" fontId="6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 quotePrefix="1">
      <alignment horizontal="lef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 locked="0"/>
    </xf>
    <xf numFmtId="5" fontId="15" fillId="0" borderId="11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165" fontId="7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170" fontId="6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" fontId="6" fillId="0" borderId="0" xfId="0" applyNumberFormat="1" applyFont="1" applyFill="1" applyBorder="1" applyAlignment="1" applyProtection="1">
      <alignment horizontal="center"/>
      <protection/>
    </xf>
    <xf numFmtId="5" fontId="6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3" fontId="6" fillId="0" borderId="0" xfId="0" applyNumberFormat="1" applyFont="1" applyAlignment="1">
      <alignment horizontal="center"/>
    </xf>
    <xf numFmtId="0" fontId="11" fillId="0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 quotePrefix="1">
      <alignment/>
      <protection/>
    </xf>
    <xf numFmtId="0" fontId="11" fillId="0" borderId="0" xfId="0" applyFont="1" applyFill="1" applyAlignment="1" applyProtection="1" quotePrefix="1">
      <alignment horizontal="right"/>
      <protection/>
    </xf>
    <xf numFmtId="0" fontId="19" fillId="0" borderId="0" xfId="0" applyFont="1" applyFill="1" applyAlignment="1" applyProtection="1">
      <alignment horizontal="left"/>
      <protection/>
    </xf>
    <xf numFmtId="3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Alignment="1" applyProtection="1">
      <alignment horizontal="center"/>
      <protection locked="0"/>
    </xf>
    <xf numFmtId="7" fontId="11" fillId="0" borderId="0" xfId="0" applyNumberFormat="1" applyFont="1" applyFill="1" applyAlignment="1" applyProtection="1">
      <alignment horizontal="right"/>
      <protection/>
    </xf>
    <xf numFmtId="172" fontId="10" fillId="0" borderId="0" xfId="0" applyNumberFormat="1" applyFont="1" applyFill="1" applyAlignment="1" applyProtection="1">
      <alignment horizontal="center"/>
      <protection locked="0"/>
    </xf>
    <xf numFmtId="0" fontId="10" fillId="5" borderId="21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 applyProtection="1">
      <alignment horizontal="center"/>
      <protection locked="0"/>
    </xf>
    <xf numFmtId="0" fontId="10" fillId="5" borderId="22" xfId="0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7" fontId="10" fillId="0" borderId="0" xfId="0" applyNumberFormat="1" applyFont="1" applyFill="1" applyAlignment="1" applyProtection="1">
      <alignment horizontal="left"/>
      <protection locked="0"/>
    </xf>
    <xf numFmtId="1" fontId="10" fillId="0" borderId="0" xfId="0" applyNumberFormat="1" applyFont="1" applyFill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8" fontId="7" fillId="0" borderId="11" xfId="0" applyNumberFormat="1" applyFont="1" applyFill="1" applyBorder="1" applyAlignment="1" applyProtection="1">
      <alignment horizontal="center"/>
      <protection/>
    </xf>
    <xf numFmtId="8" fontId="7" fillId="0" borderId="0" xfId="0" applyNumberFormat="1" applyFont="1" applyFill="1" applyBorder="1" applyAlignment="1" applyProtection="1">
      <alignment horizontal="center"/>
      <protection/>
    </xf>
    <xf numFmtId="9" fontId="6" fillId="0" borderId="0" xfId="0" applyNumberFormat="1" applyFont="1" applyFill="1" applyAlignment="1" applyProtection="1">
      <alignment horizontal="center"/>
      <protection/>
    </xf>
    <xf numFmtId="17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Alignment="1" applyProtection="1">
      <alignment horizontal="right"/>
      <protection locked="0"/>
    </xf>
    <xf numFmtId="0" fontId="21" fillId="0" borderId="0" xfId="53" applyFill="1" applyAlignment="1" applyProtection="1">
      <alignment/>
      <protection/>
    </xf>
    <xf numFmtId="7" fontId="6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 locked="0"/>
    </xf>
    <xf numFmtId="9" fontId="23" fillId="0" borderId="0" xfId="0" applyNumberFormat="1" applyFont="1" applyFill="1" applyAlignment="1" applyProtection="1">
      <alignment horizontal="center"/>
      <protection locked="0"/>
    </xf>
    <xf numFmtId="40" fontId="7" fillId="0" borderId="0" xfId="0" applyNumberFormat="1" applyFont="1" applyFill="1" applyBorder="1" applyAlignment="1" applyProtection="1">
      <alignment/>
      <protection/>
    </xf>
    <xf numFmtId="40" fontId="6" fillId="0" borderId="0" xfId="0" applyNumberFormat="1" applyFont="1" applyFill="1" applyAlignment="1" applyProtection="1">
      <alignment/>
      <protection/>
    </xf>
    <xf numFmtId="40" fontId="7" fillId="0" borderId="11" xfId="0" applyNumberFormat="1" applyFont="1" applyFill="1" applyBorder="1" applyAlignment="1" applyProtection="1">
      <alignment/>
      <protection/>
    </xf>
    <xf numFmtId="40" fontId="15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 locked="0"/>
    </xf>
    <xf numFmtId="8" fontId="6" fillId="0" borderId="0" xfId="0" applyNumberFormat="1" applyFont="1" applyFill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179" fontId="12" fillId="0" borderId="0" xfId="0" applyNumberFormat="1" applyFont="1" applyFill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179" fontId="12" fillId="0" borderId="0" xfId="0" applyNumberFormat="1" applyFont="1" applyFill="1" applyAlignment="1" applyProtection="1">
      <alignment horizontal="left"/>
      <protection/>
    </xf>
    <xf numFmtId="169" fontId="12" fillId="0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eep.cornell.edu/" TargetMode="External" /><Relationship Id="rId2" Type="http://schemas.openxmlformats.org/officeDocument/2006/relationships/hyperlink" Target="mailto:mlt2@cornell.edu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P179"/>
  <sheetViews>
    <sheetView tabSelected="1" showOutlineSymbols="0" zoomScaleSheetLayoutView="100" zoomScalePageLayoutView="0" workbookViewId="0" topLeftCell="A1">
      <selection activeCell="C2" sqref="C2:D2"/>
    </sheetView>
  </sheetViews>
  <sheetFormatPr defaultColWidth="9.625" defaultRowHeight="12.75" outlineLevelRow="2" outlineLevelCol="4"/>
  <cols>
    <col min="1" max="1" width="20.625" style="63" customWidth="1"/>
    <col min="2" max="2" width="9.625" style="63" customWidth="1" outlineLevel="2"/>
    <col min="3" max="5" width="9.625" style="63" customWidth="1" outlineLevel="4"/>
    <col min="6" max="6" width="9.625" style="63" customWidth="1" outlineLevel="3"/>
    <col min="7" max="8" width="9.625" style="63" customWidth="1" outlineLevel="2"/>
    <col min="9" max="9" width="10.625" style="167" customWidth="1" outlineLevel="2"/>
    <col min="10" max="11" width="9.625" style="0" customWidth="1" outlineLevel="2"/>
    <col min="12" max="12" width="9.625" style="11" customWidth="1" outlineLevel="2"/>
    <col min="13" max="14" width="9.625" style="0" customWidth="1" outlineLevel="1"/>
    <col min="16" max="16" width="16.25390625" style="0" bestFit="1" customWidth="1"/>
  </cols>
  <sheetData>
    <row r="1" spans="1:8" ht="12.75">
      <c r="A1" s="96" t="s">
        <v>64</v>
      </c>
      <c r="B1" s="131" t="s">
        <v>245</v>
      </c>
      <c r="E1" s="132"/>
      <c r="F1" s="136" t="s">
        <v>191</v>
      </c>
      <c r="G1" s="221">
        <f ca="1">NOW()</f>
        <v>39854.38942071759</v>
      </c>
      <c r="H1" s="221"/>
    </row>
    <row r="2" spans="1:8" ht="12.75">
      <c r="A2" s="133"/>
      <c r="B2" s="144" t="s">
        <v>228</v>
      </c>
      <c r="C2" s="223">
        <v>39854</v>
      </c>
      <c r="D2" s="223"/>
      <c r="E2" s="61"/>
      <c r="F2" s="61"/>
      <c r="G2" s="130"/>
      <c r="H2" s="100"/>
    </row>
    <row r="3" spans="1:12" s="94" customFormat="1" ht="12.75">
      <c r="A3" s="133" t="s">
        <v>65</v>
      </c>
      <c r="B3" s="134"/>
      <c r="C3" s="134"/>
      <c r="D3" s="134"/>
      <c r="E3" s="135"/>
      <c r="I3" s="168"/>
      <c r="L3" s="95"/>
    </row>
    <row r="4" spans="1:12" s="8" customFormat="1" ht="12.75">
      <c r="A4" s="46" t="s">
        <v>127</v>
      </c>
      <c r="B4" s="111">
        <v>700</v>
      </c>
      <c r="C4" s="137"/>
      <c r="D4" s="137"/>
      <c r="E4" s="40" t="s">
        <v>192</v>
      </c>
      <c r="F4" s="137"/>
      <c r="G4" s="137"/>
      <c r="H4" s="137"/>
      <c r="I4" s="169"/>
      <c r="L4" s="13"/>
    </row>
    <row r="5" spans="1:7" ht="12.75">
      <c r="A5" s="80" t="s">
        <v>128</v>
      </c>
      <c r="B5" s="81">
        <v>4</v>
      </c>
      <c r="C5" s="79" t="s">
        <v>91</v>
      </c>
      <c r="D5" s="47">
        <v>3</v>
      </c>
      <c r="E5" s="45" t="s">
        <v>92</v>
      </c>
      <c r="F5" s="60">
        <f>B5/D5</f>
        <v>1.3333333333333333</v>
      </c>
      <c r="G5" s="138" t="s">
        <v>129</v>
      </c>
    </row>
    <row r="6" spans="1:12" s="7" customFormat="1" ht="12.75">
      <c r="A6" s="46" t="s">
        <v>187</v>
      </c>
      <c r="B6" s="81">
        <v>1.5</v>
      </c>
      <c r="C6" s="139"/>
      <c r="D6" s="140"/>
      <c r="E6" s="158" t="s">
        <v>211</v>
      </c>
      <c r="F6" s="159">
        <v>60</v>
      </c>
      <c r="G6" s="141"/>
      <c r="H6" s="61"/>
      <c r="I6" s="170"/>
      <c r="L6" s="14"/>
    </row>
    <row r="7" spans="1:12" s="7" customFormat="1" ht="12.75">
      <c r="A7" s="102" t="s">
        <v>183</v>
      </c>
      <c r="B7" s="82">
        <v>0.03</v>
      </c>
      <c r="C7" s="140"/>
      <c r="D7" s="139"/>
      <c r="E7" s="130" t="s">
        <v>112</v>
      </c>
      <c r="F7" s="101">
        <f>F6*F5</f>
        <v>80</v>
      </c>
      <c r="G7" s="61"/>
      <c r="H7" s="61"/>
      <c r="I7" s="170"/>
      <c r="L7" s="14"/>
    </row>
    <row r="8" spans="1:12" s="7" customFormat="1" ht="12.75">
      <c r="A8" s="52" t="s">
        <v>193</v>
      </c>
      <c r="B8" s="54">
        <v>0.05</v>
      </c>
      <c r="C8" s="140"/>
      <c r="D8" s="140"/>
      <c r="E8" s="206" t="s">
        <v>139</v>
      </c>
      <c r="F8" s="205">
        <f>F5*B6</f>
        <v>2</v>
      </c>
      <c r="G8" s="61"/>
      <c r="H8" s="61"/>
      <c r="I8" s="170"/>
      <c r="L8" s="14"/>
    </row>
    <row r="9" spans="1:5" ht="12.75">
      <c r="A9" s="52" t="s">
        <v>181</v>
      </c>
      <c r="B9" s="54">
        <v>0.15</v>
      </c>
      <c r="D9" s="52" t="s">
        <v>182</v>
      </c>
      <c r="E9" s="54">
        <v>0.5</v>
      </c>
    </row>
    <row r="10" spans="1:11" ht="12.75">
      <c r="A10" s="52" t="s">
        <v>180</v>
      </c>
      <c r="B10" s="22">
        <v>1</v>
      </c>
      <c r="C10" s="63" t="s">
        <v>186</v>
      </c>
      <c r="F10" s="58"/>
      <c r="G10" s="58"/>
      <c r="H10" s="49" t="s">
        <v>109</v>
      </c>
      <c r="J10" s="1"/>
      <c r="K10" s="1"/>
    </row>
    <row r="11" spans="2:11" ht="12.75">
      <c r="B11" s="142"/>
      <c r="C11" s="48" t="s">
        <v>74</v>
      </c>
      <c r="D11" s="48" t="s">
        <v>113</v>
      </c>
      <c r="E11" s="48" t="s">
        <v>95</v>
      </c>
      <c r="F11" s="48" t="s">
        <v>0</v>
      </c>
      <c r="G11" s="161" t="s">
        <v>78</v>
      </c>
      <c r="H11" s="161" t="s">
        <v>140</v>
      </c>
      <c r="I11" s="143"/>
      <c r="J11" s="1"/>
      <c r="K11" s="1"/>
    </row>
    <row r="12" spans="2:12" ht="12.75">
      <c r="B12" s="161" t="s">
        <v>1</v>
      </c>
      <c r="C12" s="48" t="s">
        <v>75</v>
      </c>
      <c r="D12" s="48" t="s">
        <v>75</v>
      </c>
      <c r="E12" s="48" t="s">
        <v>75</v>
      </c>
      <c r="F12" s="48" t="s">
        <v>76</v>
      </c>
      <c r="G12" s="161" t="s">
        <v>79</v>
      </c>
      <c r="H12" s="161" t="s">
        <v>77</v>
      </c>
      <c r="I12" s="143"/>
      <c r="J12" s="1"/>
      <c r="L12" s="15"/>
    </row>
    <row r="13" spans="1:10" ht="12.75">
      <c r="A13" s="58" t="s">
        <v>66</v>
      </c>
      <c r="B13" s="113">
        <f>B4</f>
        <v>700</v>
      </c>
      <c r="C13" s="33"/>
      <c r="D13" s="33"/>
      <c r="E13" s="34">
        <v>150</v>
      </c>
      <c r="F13" s="35">
        <v>2</v>
      </c>
      <c r="G13" s="62">
        <f>E13*F13</f>
        <v>300</v>
      </c>
      <c r="H13" s="36">
        <f aca="true" t="shared" si="0" ref="H13:H21">B13*G13</f>
        <v>210000</v>
      </c>
      <c r="I13" s="70"/>
      <c r="J13" s="2"/>
    </row>
    <row r="14" spans="1:10" ht="12.75">
      <c r="A14" s="58" t="s">
        <v>67</v>
      </c>
      <c r="B14" s="114">
        <f>B13*B10/100+1</f>
        <v>8</v>
      </c>
      <c r="C14" s="33"/>
      <c r="D14" s="33"/>
      <c r="E14" s="34">
        <v>200</v>
      </c>
      <c r="F14" s="35">
        <v>3</v>
      </c>
      <c r="G14" s="62">
        <f>E14*F14</f>
        <v>600</v>
      </c>
      <c r="H14" s="36">
        <f>B14*G14</f>
        <v>4800</v>
      </c>
      <c r="I14" s="70"/>
      <c r="J14" s="2"/>
    </row>
    <row r="15" spans="1:9" ht="12.75">
      <c r="A15" s="58" t="s">
        <v>68</v>
      </c>
      <c r="B15" s="113">
        <f>INT(B13*B9+B13*B7)</f>
        <v>126</v>
      </c>
      <c r="C15" s="34">
        <v>30</v>
      </c>
      <c r="D15" s="33"/>
      <c r="E15" s="34">
        <v>100</v>
      </c>
      <c r="F15" s="35">
        <v>2</v>
      </c>
      <c r="G15" s="62">
        <f>E15*F15</f>
        <v>200</v>
      </c>
      <c r="H15" s="36">
        <f t="shared" si="0"/>
        <v>25200</v>
      </c>
      <c r="I15" s="70"/>
    </row>
    <row r="16" spans="1:9" ht="12.75">
      <c r="A16" s="58" t="s">
        <v>69</v>
      </c>
      <c r="B16" s="113">
        <f>INT(B14*E9+B14*B7)+1</f>
        <v>5</v>
      </c>
      <c r="C16" s="34">
        <v>40</v>
      </c>
      <c r="D16" s="33"/>
      <c r="E16" s="34">
        <v>130</v>
      </c>
      <c r="F16" s="35">
        <v>3</v>
      </c>
      <c r="G16" s="62">
        <f>E16*F16</f>
        <v>390</v>
      </c>
      <c r="H16" s="36">
        <f t="shared" si="0"/>
        <v>1950</v>
      </c>
      <c r="I16" s="70"/>
    </row>
    <row r="17" spans="1:8" ht="12.75">
      <c r="A17" s="58" t="s">
        <v>70</v>
      </c>
      <c r="B17" s="113">
        <f>($B$13*$F$8/2)*(1-$B$8)-B15</f>
        <v>539</v>
      </c>
      <c r="C17" s="34">
        <v>30</v>
      </c>
      <c r="D17" s="34">
        <v>70</v>
      </c>
      <c r="E17" s="21"/>
      <c r="F17" s="35">
        <v>1.4</v>
      </c>
      <c r="G17" s="62">
        <f>D17*F17</f>
        <v>98</v>
      </c>
      <c r="H17" s="37">
        <f t="shared" si="0"/>
        <v>52822</v>
      </c>
    </row>
    <row r="18" spans="1:10" ht="12.75">
      <c r="A18" s="58" t="s">
        <v>71</v>
      </c>
      <c r="B18" s="113">
        <f>($B$13*$F$8/2)*(1-$B$8)-B16</f>
        <v>660</v>
      </c>
      <c r="C18" s="34">
        <v>40</v>
      </c>
      <c r="D18" s="34">
        <v>70</v>
      </c>
      <c r="E18" s="21"/>
      <c r="F18" s="35">
        <v>1.4</v>
      </c>
      <c r="G18" s="62">
        <f>D18*F18</f>
        <v>98</v>
      </c>
      <c r="H18" s="37">
        <f t="shared" si="0"/>
        <v>64680</v>
      </c>
      <c r="J18" s="1"/>
    </row>
    <row r="19" spans="1:14" ht="12.75">
      <c r="A19" s="58" t="s">
        <v>72</v>
      </c>
      <c r="B19" s="113">
        <f>B13*B9</f>
        <v>105</v>
      </c>
      <c r="C19" s="33"/>
      <c r="D19" s="34">
        <v>150</v>
      </c>
      <c r="E19" s="21"/>
      <c r="F19" s="35">
        <v>0.45</v>
      </c>
      <c r="G19" s="62">
        <f>D19*F19</f>
        <v>67.5</v>
      </c>
      <c r="H19" s="37">
        <f t="shared" si="0"/>
        <v>7087.5</v>
      </c>
      <c r="J19" s="2"/>
      <c r="K19" s="1"/>
      <c r="M19" s="2"/>
      <c r="N19" s="1"/>
    </row>
    <row r="20" spans="1:14" ht="12.75">
      <c r="A20" s="58" t="s">
        <v>73</v>
      </c>
      <c r="B20" s="113">
        <f>B16</f>
        <v>5</v>
      </c>
      <c r="C20" s="33"/>
      <c r="D20" s="34">
        <v>200</v>
      </c>
      <c r="E20" s="21"/>
      <c r="F20" s="35">
        <v>0.45</v>
      </c>
      <c r="G20" s="62">
        <f>D20*F20</f>
        <v>90</v>
      </c>
      <c r="H20" s="37">
        <f t="shared" si="0"/>
        <v>450</v>
      </c>
      <c r="J20" s="2"/>
      <c r="K20" s="1"/>
      <c r="M20" s="2"/>
      <c r="N20" s="1"/>
    </row>
    <row r="21" spans="1:14" ht="12.75">
      <c r="A21" s="61" t="s">
        <v>188</v>
      </c>
      <c r="B21" s="112">
        <f>B13+B14</f>
        <v>708</v>
      </c>
      <c r="C21" s="61"/>
      <c r="D21" s="144"/>
      <c r="E21" s="197">
        <v>6</v>
      </c>
      <c r="F21" s="35">
        <v>0.5</v>
      </c>
      <c r="G21" s="211">
        <f>E21*F21</f>
        <v>3</v>
      </c>
      <c r="H21" s="37">
        <f t="shared" si="0"/>
        <v>2124</v>
      </c>
      <c r="J21" s="2"/>
      <c r="K21" s="1"/>
      <c r="M21" s="2"/>
      <c r="N21" s="1"/>
    </row>
    <row r="22" spans="1:12" s="7" customFormat="1" ht="12.75">
      <c r="A22" s="140"/>
      <c r="B22" s="140"/>
      <c r="C22" s="140"/>
      <c r="D22" s="140"/>
      <c r="E22" s="140"/>
      <c r="F22" s="61"/>
      <c r="G22" s="50" t="s">
        <v>111</v>
      </c>
      <c r="H22" s="38">
        <f>SUM(H13:H16)</f>
        <v>241950</v>
      </c>
      <c r="I22" s="171"/>
      <c r="L22" s="14"/>
    </row>
    <row r="23" spans="1:12" s="23" customFormat="1" ht="13.5" thickBot="1">
      <c r="A23" s="145"/>
      <c r="B23" s="145"/>
      <c r="C23" s="145"/>
      <c r="D23" s="146"/>
      <c r="E23" s="145"/>
      <c r="F23" s="145"/>
      <c r="G23" s="51" t="s">
        <v>110</v>
      </c>
      <c r="H23" s="160">
        <f>SUM(H17:H21)</f>
        <v>127163.5</v>
      </c>
      <c r="I23" s="172"/>
      <c r="L23" s="24"/>
    </row>
    <row r="24" spans="1:12" s="92" customFormat="1" ht="13.5" thickTop="1">
      <c r="A24" s="88" t="s">
        <v>3</v>
      </c>
      <c r="B24" s="91"/>
      <c r="C24" s="91"/>
      <c r="D24" s="91"/>
      <c r="E24" s="91"/>
      <c r="F24" s="91"/>
      <c r="G24" s="91"/>
      <c r="H24" s="91"/>
      <c r="I24" s="173"/>
      <c r="L24" s="93"/>
    </row>
    <row r="25" spans="1:15" s="7" customFormat="1" ht="12.75">
      <c r="A25" s="45"/>
      <c r="B25" s="45"/>
      <c r="C25" s="182" t="s">
        <v>184</v>
      </c>
      <c r="D25" s="224" t="s">
        <v>4</v>
      </c>
      <c r="E25" s="224"/>
      <c r="F25" s="224"/>
      <c r="G25" s="224"/>
      <c r="H25" s="224"/>
      <c r="I25" s="170"/>
      <c r="K25" s="9"/>
      <c r="L25" s="16"/>
      <c r="M25" s="9"/>
      <c r="N25" s="9"/>
      <c r="O25" s="9"/>
    </row>
    <row r="26" spans="1:15" ht="12.75">
      <c r="A26" s="46" t="s">
        <v>185</v>
      </c>
      <c r="B26" s="183" t="s">
        <v>5</v>
      </c>
      <c r="C26" s="183" t="s">
        <v>6</v>
      </c>
      <c r="D26" s="79" t="s">
        <v>7</v>
      </c>
      <c r="E26" s="79" t="s">
        <v>8</v>
      </c>
      <c r="F26" s="79" t="s">
        <v>9</v>
      </c>
      <c r="G26" s="79" t="s">
        <v>10</v>
      </c>
      <c r="H26" s="79" t="s">
        <v>18</v>
      </c>
      <c r="I26" s="181" t="s">
        <v>22</v>
      </c>
      <c r="J26" s="1"/>
      <c r="K26" s="2"/>
      <c r="L26" s="17"/>
      <c r="M26" s="2"/>
      <c r="N26" s="2"/>
      <c r="O26" s="1"/>
    </row>
    <row r="27" spans="1:15" ht="12.75" outlineLevel="1">
      <c r="A27" s="122">
        <v>1</v>
      </c>
      <c r="B27" s="115">
        <v>0</v>
      </c>
      <c r="C27" s="103">
        <f>20</f>
        <v>20</v>
      </c>
      <c r="D27" s="103">
        <f>0.649999999999636</f>
        <v>0.6499999999996362</v>
      </c>
      <c r="E27" s="103">
        <f>0.649999999999636</f>
        <v>0.6499999999996362</v>
      </c>
      <c r="F27" s="103">
        <f>0.25</f>
        <v>0.25</v>
      </c>
      <c r="G27" s="103">
        <f>0.149999999999864</f>
        <v>0.14999999999986358</v>
      </c>
      <c r="H27" s="193">
        <f>0.299999999999727</f>
        <v>0.29999999999972715</v>
      </c>
      <c r="I27" s="167">
        <f>SUM(D27:H27)</f>
        <v>1.9999999999988631</v>
      </c>
      <c r="K27" s="2"/>
      <c r="L27" s="17"/>
      <c r="M27" s="2"/>
      <c r="N27" s="2"/>
      <c r="O27" s="2"/>
    </row>
    <row r="28" spans="1:15" ht="12.75" outlineLevel="1">
      <c r="A28" s="123" t="s">
        <v>225</v>
      </c>
      <c r="B28" s="116">
        <v>50</v>
      </c>
      <c r="C28" s="104">
        <f>10</f>
        <v>10</v>
      </c>
      <c r="D28" s="104">
        <f>0.549999999999272</f>
        <v>0.5499999999992724</v>
      </c>
      <c r="E28" s="104">
        <f>0.5</f>
        <v>0.5</v>
      </c>
      <c r="F28" s="104">
        <f>0.149999999999864</f>
        <v>0.14999999999986358</v>
      </c>
      <c r="G28" s="104">
        <f>0.0999999999999091</f>
        <v>0.09999999999990905</v>
      </c>
      <c r="H28" s="194">
        <f>0.199999999999818</f>
        <v>0.1999999999998181</v>
      </c>
      <c r="I28" s="167">
        <f aca="true" t="shared" si="1" ref="I28:I39">SUM(D28:H28)</f>
        <v>1.4999999999988631</v>
      </c>
      <c r="K28" s="2"/>
      <c r="L28" s="17"/>
      <c r="M28" s="2"/>
      <c r="N28" s="2"/>
      <c r="O28" s="2"/>
    </row>
    <row r="29" spans="1:15" ht="12.75" outlineLevel="1">
      <c r="A29" s="124">
        <v>3</v>
      </c>
      <c r="B29" s="117">
        <v>0</v>
      </c>
      <c r="C29" s="105">
        <v>0</v>
      </c>
      <c r="D29" s="105">
        <f>0.399999999999636</f>
        <v>0.3999999999996362</v>
      </c>
      <c r="E29" s="105">
        <f>0.349999999999909</f>
        <v>0.34999999999990905</v>
      </c>
      <c r="F29" s="105">
        <f>0.0999999999999091</f>
        <v>0.09999999999990905</v>
      </c>
      <c r="G29" s="105">
        <f>0.0499999999999545</f>
        <v>0.049999999999954525</v>
      </c>
      <c r="H29" s="195">
        <f>0.0999999999999091</f>
        <v>0.09999999999990905</v>
      </c>
      <c r="I29" s="167">
        <f t="shared" si="1"/>
        <v>0.9999999999993179</v>
      </c>
      <c r="K29" s="2"/>
      <c r="L29" s="17"/>
      <c r="M29" s="2"/>
      <c r="N29" s="2"/>
      <c r="O29" s="2"/>
    </row>
    <row r="30" spans="1:15" ht="12.75" outlineLevel="1">
      <c r="A30" s="130"/>
      <c r="B30" s="118"/>
      <c r="C30" s="99"/>
      <c r="D30" s="99"/>
      <c r="E30" s="99"/>
      <c r="F30" s="99"/>
      <c r="G30" s="99"/>
      <c r="H30" s="99"/>
      <c r="K30" s="2"/>
      <c r="L30" s="17"/>
      <c r="M30" s="2"/>
      <c r="N30" s="2"/>
      <c r="O30" s="2"/>
    </row>
    <row r="31" spans="1:15" ht="12.75" outlineLevel="1">
      <c r="A31" s="122">
        <v>1</v>
      </c>
      <c r="B31" s="115">
        <v>100</v>
      </c>
      <c r="C31" s="103">
        <v>20</v>
      </c>
      <c r="D31" s="103">
        <f>0.799999999999272</f>
        <v>0.7999999999992724</v>
      </c>
      <c r="E31" s="103">
        <f>0.849999999999454</f>
        <v>0.8499999999994543</v>
      </c>
      <c r="F31" s="103">
        <f>0.349999999999909</f>
        <v>0.34999999999990905</v>
      </c>
      <c r="G31" s="103">
        <f>0.0999999999999091</f>
        <v>0.09999999999990905</v>
      </c>
      <c r="H31" s="193">
        <f>0.299999999999727</f>
        <v>0.29999999999972715</v>
      </c>
      <c r="I31" s="167">
        <f t="shared" si="1"/>
        <v>2.399999999998272</v>
      </c>
      <c r="K31" s="2"/>
      <c r="L31" s="17"/>
      <c r="M31" s="2"/>
      <c r="N31" s="2"/>
      <c r="O31" s="2"/>
    </row>
    <row r="32" spans="1:15" ht="12.75" outlineLevel="1">
      <c r="A32" s="123" t="s">
        <v>136</v>
      </c>
      <c r="B32" s="116">
        <v>0</v>
      </c>
      <c r="C32" s="104">
        <v>10</v>
      </c>
      <c r="D32" s="104">
        <f>0.699999999999818</f>
        <v>0.6999999999998181</v>
      </c>
      <c r="E32" s="104">
        <f>0.649999999999636</f>
        <v>0.6499999999996362</v>
      </c>
      <c r="F32" s="104">
        <f>0.299999999999727</f>
        <v>0.29999999999972715</v>
      </c>
      <c r="G32" s="104">
        <f>0.0999999999999091</f>
        <v>0.09999999999990905</v>
      </c>
      <c r="H32" s="194">
        <f>0.25</f>
        <v>0.25</v>
      </c>
      <c r="I32" s="167">
        <f t="shared" si="1"/>
        <v>1.9999999999990905</v>
      </c>
      <c r="K32" s="2"/>
      <c r="L32" s="17"/>
      <c r="M32" s="2"/>
      <c r="N32" s="2"/>
      <c r="O32" s="2"/>
    </row>
    <row r="33" spans="1:15" ht="12.75" outlineLevel="1">
      <c r="A33" s="125" t="s">
        <v>11</v>
      </c>
      <c r="B33" s="117">
        <v>0</v>
      </c>
      <c r="C33" s="105">
        <v>0</v>
      </c>
      <c r="D33" s="105">
        <f>0.399999999999636</f>
        <v>0.3999999999996362</v>
      </c>
      <c r="E33" s="105">
        <f>0.349999999999909</f>
        <v>0.34999999999990905</v>
      </c>
      <c r="F33" s="105">
        <f>0.0999999999999091</f>
        <v>0.09999999999990905</v>
      </c>
      <c r="G33" s="105">
        <f>0.0499999999999545</f>
        <v>0.049999999999954525</v>
      </c>
      <c r="H33" s="195">
        <f>0.0999999999999091</f>
        <v>0.09999999999990905</v>
      </c>
      <c r="I33" s="167">
        <f t="shared" si="1"/>
        <v>0.9999999999993179</v>
      </c>
      <c r="K33" s="2"/>
      <c r="L33" s="17"/>
      <c r="M33" s="2"/>
      <c r="N33" s="2"/>
      <c r="O33" s="2"/>
    </row>
    <row r="34" spans="1:15" ht="12.75" outlineLevel="1">
      <c r="A34" s="130"/>
      <c r="B34" s="118"/>
      <c r="C34" s="99"/>
      <c r="D34" s="99"/>
      <c r="E34" s="99"/>
      <c r="F34" s="99"/>
      <c r="G34" s="99"/>
      <c r="H34" s="99"/>
      <c r="K34" s="2"/>
      <c r="L34" s="17"/>
      <c r="M34" s="2"/>
      <c r="N34" s="2"/>
      <c r="O34" s="2"/>
    </row>
    <row r="35" spans="1:15" ht="12.75" outlineLevel="1">
      <c r="A35" s="122">
        <v>1</v>
      </c>
      <c r="B35" s="115">
        <v>0</v>
      </c>
      <c r="C35" s="103">
        <f>20</f>
        <v>20</v>
      </c>
      <c r="D35" s="103">
        <f>0.349999999999909</f>
        <v>0.34999999999990905</v>
      </c>
      <c r="E35" s="103">
        <f>0.699999999999818</f>
        <v>0.6999999999998181</v>
      </c>
      <c r="F35" s="103">
        <f>0.75</f>
        <v>0.75</v>
      </c>
      <c r="G35" s="103">
        <f>0.5</f>
        <v>0.5</v>
      </c>
      <c r="H35" s="193">
        <f>0.25</f>
        <v>0.25</v>
      </c>
      <c r="I35" s="167">
        <f t="shared" si="1"/>
        <v>2.549999999999727</v>
      </c>
      <c r="K35" s="2"/>
      <c r="L35" s="17"/>
      <c r="M35" s="2"/>
      <c r="N35" s="2"/>
      <c r="O35" s="2"/>
    </row>
    <row r="36" spans="1:15" ht="12.75" outlineLevel="1">
      <c r="A36" s="123" t="s">
        <v>137</v>
      </c>
      <c r="B36" s="116">
        <v>60</v>
      </c>
      <c r="C36" s="104">
        <v>10</v>
      </c>
      <c r="D36" s="104">
        <f>0.299999999999727</f>
        <v>0.29999999999972715</v>
      </c>
      <c r="E36" s="104">
        <f>0.549999999999272</f>
        <v>0.5499999999992724</v>
      </c>
      <c r="F36" s="104">
        <f>0.549999999999272</f>
        <v>0.5499999999992724</v>
      </c>
      <c r="G36" s="104">
        <f>0.349999999999909</f>
        <v>0.34999999999990905</v>
      </c>
      <c r="H36" s="194">
        <f>0.149999999999864</f>
        <v>0.14999999999986358</v>
      </c>
      <c r="I36" s="167">
        <f t="shared" si="1"/>
        <v>1.8999999999980446</v>
      </c>
      <c r="K36" s="2"/>
      <c r="L36" s="17"/>
      <c r="M36" s="2"/>
      <c r="N36" s="2"/>
      <c r="O36" s="2"/>
    </row>
    <row r="37" spans="1:15" ht="12.75" outlineLevel="1">
      <c r="A37" s="124">
        <v>3</v>
      </c>
      <c r="B37" s="117">
        <v>0</v>
      </c>
      <c r="C37" s="105">
        <v>0</v>
      </c>
      <c r="D37" s="105">
        <f>0.199999999999818</f>
        <v>0.1999999999998181</v>
      </c>
      <c r="E37" s="105">
        <f>0.349999999999909</f>
        <v>0.34999999999990905</v>
      </c>
      <c r="F37" s="105">
        <f>0.299999999999727</f>
        <v>0.29999999999972715</v>
      </c>
      <c r="G37" s="105">
        <f>0.199999999999818</f>
        <v>0.1999999999998181</v>
      </c>
      <c r="H37" s="195">
        <f>0.0999999999999091</f>
        <v>0.09999999999990905</v>
      </c>
      <c r="I37" s="167">
        <f t="shared" si="1"/>
        <v>1.1499999999991815</v>
      </c>
      <c r="O37" s="2"/>
    </row>
    <row r="38" spans="1:15" ht="12.75" outlineLevel="1">
      <c r="A38" s="130"/>
      <c r="B38" s="118">
        <v>0</v>
      </c>
      <c r="C38" s="99"/>
      <c r="D38" s="99"/>
      <c r="E38" s="99"/>
      <c r="F38" s="99"/>
      <c r="G38" s="99"/>
      <c r="H38" s="99"/>
      <c r="O38" s="2"/>
    </row>
    <row r="39" spans="1:16" s="19" customFormat="1" ht="15" customHeight="1" outlineLevel="1">
      <c r="A39" s="126" t="s">
        <v>138</v>
      </c>
      <c r="B39" s="119">
        <v>191.10344827635902</v>
      </c>
      <c r="C39" s="107">
        <v>0</v>
      </c>
      <c r="D39" s="107">
        <f>0.349999999999909</f>
        <v>0.34999999999990905</v>
      </c>
      <c r="E39" s="107">
        <f>0.299999999999727</f>
        <v>0.29999999999972715</v>
      </c>
      <c r="F39" s="107">
        <f>0.149999999999864</f>
        <v>0.14999999999986358</v>
      </c>
      <c r="G39" s="107">
        <f>0.0999999999999091</f>
        <v>0.09999999999990905</v>
      </c>
      <c r="H39" s="196">
        <f>0.0499999999999545</f>
        <v>0.049999999999954525</v>
      </c>
      <c r="I39" s="167">
        <f t="shared" si="1"/>
        <v>0.9499999999993634</v>
      </c>
      <c r="J39" s="25"/>
      <c r="L39" s="20"/>
      <c r="M39" s="6"/>
      <c r="N39"/>
      <c r="O39"/>
      <c r="P39" s="11"/>
    </row>
    <row r="40" spans="3:8" ht="12.75" outlineLevel="1">
      <c r="C40" s="66" t="s">
        <v>120</v>
      </c>
      <c r="D40" s="54">
        <v>0.75</v>
      </c>
      <c r="E40" s="54">
        <v>0.85</v>
      </c>
      <c r="F40" s="54">
        <v>0.95</v>
      </c>
      <c r="G40" s="54">
        <v>0.95</v>
      </c>
      <c r="H40" s="54">
        <v>0.85</v>
      </c>
    </row>
    <row r="41" spans="1:8" ht="12.75">
      <c r="A41" s="66" t="s">
        <v>12</v>
      </c>
      <c r="B41" s="120">
        <f>SUM(B27:B39)</f>
        <v>401.103448276359</v>
      </c>
      <c r="G41" s="66" t="s">
        <v>121</v>
      </c>
      <c r="H41" s="85">
        <v>700</v>
      </c>
    </row>
    <row r="42" spans="1:12" s="23" customFormat="1" ht="13.5" thickBot="1">
      <c r="A42" s="147" t="s">
        <v>94</v>
      </c>
      <c r="B42" s="106">
        <f>B41/B13</f>
        <v>0.5730049261090843</v>
      </c>
      <c r="C42" s="148"/>
      <c r="D42" s="147" t="s">
        <v>177</v>
      </c>
      <c r="E42" s="84">
        <f>75%</f>
        <v>0.75</v>
      </c>
      <c r="F42" s="148"/>
      <c r="G42" s="147" t="s">
        <v>178</v>
      </c>
      <c r="H42" s="84">
        <v>0.6</v>
      </c>
      <c r="I42" s="174"/>
      <c r="L42" s="24"/>
    </row>
    <row r="43" spans="1:12" s="89" customFormat="1" ht="13.5" thickTop="1">
      <c r="A43" s="88" t="s">
        <v>227</v>
      </c>
      <c r="B43" s="73"/>
      <c r="C43" s="73"/>
      <c r="D43" s="73"/>
      <c r="E43" s="73"/>
      <c r="F43" s="72"/>
      <c r="G43" s="73"/>
      <c r="H43" s="73"/>
      <c r="I43" s="175"/>
      <c r="L43" s="90"/>
    </row>
    <row r="44" spans="1:8" ht="12.75">
      <c r="A44" s="52" t="s">
        <v>122</v>
      </c>
      <c r="B44" s="219">
        <v>150</v>
      </c>
      <c r="C44" s="39" t="s">
        <v>80</v>
      </c>
      <c r="D44" s="39"/>
      <c r="F44" s="97" t="s">
        <v>165</v>
      </c>
      <c r="G44" s="22">
        <v>3</v>
      </c>
      <c r="H44" s="39" t="s">
        <v>80</v>
      </c>
    </row>
    <row r="45" spans="2:8" ht="12.75">
      <c r="B45" s="44"/>
      <c r="C45" s="44"/>
      <c r="D45" s="44"/>
      <c r="E45" s="161" t="s">
        <v>89</v>
      </c>
      <c r="F45" s="44"/>
      <c r="G45" s="44"/>
      <c r="H45" s="161" t="s">
        <v>86</v>
      </c>
    </row>
    <row r="46" spans="1:12" s="10" customFormat="1" ht="12.75">
      <c r="A46" s="143"/>
      <c r="B46" s="161"/>
      <c r="C46" s="48" t="s">
        <v>81</v>
      </c>
      <c r="D46" s="161" t="s">
        <v>83</v>
      </c>
      <c r="E46" s="161" t="s">
        <v>88</v>
      </c>
      <c r="F46" s="161" t="s">
        <v>126</v>
      </c>
      <c r="G46" s="161" t="s">
        <v>85</v>
      </c>
      <c r="H46" s="161" t="s">
        <v>87</v>
      </c>
      <c r="I46" s="167"/>
      <c r="L46" s="18"/>
    </row>
    <row r="47" spans="1:12" s="10" customFormat="1" ht="12.75">
      <c r="A47" s="143"/>
      <c r="B47" s="161" t="s">
        <v>123</v>
      </c>
      <c r="C47" s="48" t="s">
        <v>82</v>
      </c>
      <c r="D47" s="161" t="s">
        <v>126</v>
      </c>
      <c r="E47" s="161" t="s">
        <v>90</v>
      </c>
      <c r="F47" s="161" t="s">
        <v>84</v>
      </c>
      <c r="G47" s="161" t="s">
        <v>130</v>
      </c>
      <c r="H47" s="161" t="s">
        <v>23</v>
      </c>
      <c r="I47" s="167"/>
      <c r="L47" s="18"/>
    </row>
    <row r="48" spans="1:10" ht="12.75" outlineLevel="1">
      <c r="A48" s="58" t="s">
        <v>13</v>
      </c>
      <c r="B48" s="143">
        <v>31</v>
      </c>
      <c r="C48" s="22">
        <v>0.05</v>
      </c>
      <c r="D48" s="121">
        <f aca="true" t="shared" si="2" ref="D48:D59">$B$13*$G$44*B48+$B$13*$G$44*B48*C48</f>
        <v>68355</v>
      </c>
      <c r="E48" s="165">
        <f aca="true" t="shared" si="3" ref="E48:E59">(((D48/$B$13)/B48)/$H$42)*100/$B$44</f>
        <v>3.500000000000001</v>
      </c>
      <c r="F48" s="121"/>
      <c r="G48" s="121">
        <f aca="true" t="shared" si="4" ref="G48:G59">IF(F48-D48&gt;0,((F48-D48)/$E$42)*$D$40*$H$42,F48-D48)</f>
        <v>-68355</v>
      </c>
      <c r="H48" s="121">
        <f>IF(G48&gt;0,(G48/$H$42)/2000,)</f>
        <v>0</v>
      </c>
      <c r="I48" s="176"/>
      <c r="J48" s="3"/>
    </row>
    <row r="49" spans="1:10" ht="12.75" outlineLevel="1">
      <c r="A49" s="58" t="s">
        <v>14</v>
      </c>
      <c r="B49" s="143">
        <v>28</v>
      </c>
      <c r="C49" s="22">
        <v>0.05</v>
      </c>
      <c r="D49" s="121">
        <f t="shared" si="2"/>
        <v>61740</v>
      </c>
      <c r="E49" s="165">
        <f t="shared" si="3"/>
        <v>3.5</v>
      </c>
      <c r="F49" s="121"/>
      <c r="G49" s="121">
        <f t="shared" si="4"/>
        <v>-61740</v>
      </c>
      <c r="H49" s="121">
        <f>IF(G49&gt;0,(G49/$H$42)/2000,)</f>
        <v>0</v>
      </c>
      <c r="J49" s="26"/>
    </row>
    <row r="50" spans="1:10" ht="12.75" outlineLevel="1">
      <c r="A50" s="58" t="s">
        <v>15</v>
      </c>
      <c r="B50" s="143">
        <v>31</v>
      </c>
      <c r="C50" s="22">
        <v>0.05</v>
      </c>
      <c r="D50" s="121">
        <f t="shared" si="2"/>
        <v>68355</v>
      </c>
      <c r="E50" s="165">
        <f t="shared" si="3"/>
        <v>3.500000000000001</v>
      </c>
      <c r="F50" s="121"/>
      <c r="G50" s="121">
        <f t="shared" si="4"/>
        <v>-68355</v>
      </c>
      <c r="H50" s="121">
        <f aca="true" t="shared" si="5" ref="H50:H59">IF(G50&gt;0,(G50/$H$42)/2000,0)</f>
        <v>0</v>
      </c>
      <c r="J50" s="3"/>
    </row>
    <row r="51" spans="1:10" ht="12.75" outlineLevel="1">
      <c r="A51" s="58" t="s">
        <v>16</v>
      </c>
      <c r="B51" s="143">
        <v>30</v>
      </c>
      <c r="C51" s="22">
        <v>0.025</v>
      </c>
      <c r="D51" s="121">
        <f t="shared" si="2"/>
        <v>64575</v>
      </c>
      <c r="E51" s="165">
        <f t="shared" si="3"/>
        <v>3.4166666666666674</v>
      </c>
      <c r="F51" s="121"/>
      <c r="G51" s="121">
        <f t="shared" si="4"/>
        <v>-64575</v>
      </c>
      <c r="H51" s="121">
        <f t="shared" si="5"/>
        <v>0</v>
      </c>
      <c r="J51" s="3"/>
    </row>
    <row r="52" spans="1:10" ht="12.75" outlineLevel="1">
      <c r="A52" s="58" t="s">
        <v>17</v>
      </c>
      <c r="B52" s="143">
        <v>31</v>
      </c>
      <c r="C52" s="22"/>
      <c r="D52" s="121">
        <f t="shared" si="2"/>
        <v>65100</v>
      </c>
      <c r="E52" s="165">
        <f t="shared" si="3"/>
        <v>3.3333333333333335</v>
      </c>
      <c r="F52" s="121">
        <f>SUMPRODUCT($B$27:$B$39*$D$27:$D$39)*2000*$E$42</f>
        <v>288579.31034487416</v>
      </c>
      <c r="G52" s="121">
        <f t="shared" si="4"/>
        <v>134087.5862069245</v>
      </c>
      <c r="H52" s="121">
        <f>IF(G52&gt;0,(G52/$H$42)/2000,0)</f>
        <v>111.73965517243708</v>
      </c>
      <c r="J52" s="3"/>
    </row>
    <row r="53" spans="1:10" ht="12.75" outlineLevel="1">
      <c r="A53" s="58" t="s">
        <v>8</v>
      </c>
      <c r="B53" s="143">
        <v>30</v>
      </c>
      <c r="C53" s="22"/>
      <c r="D53" s="121">
        <f t="shared" si="2"/>
        <v>63000</v>
      </c>
      <c r="E53" s="165">
        <f t="shared" si="3"/>
        <v>3.3333333333333335</v>
      </c>
      <c r="F53" s="121">
        <f>SUMPRODUCT($B$27:$B$39*$E$27:$E$39)*2000*$E$42</f>
        <v>300496.551724136</v>
      </c>
      <c r="G53" s="121">
        <f>IF(F53-D53&gt;0,((F53-D53)/$E$42)*$E$40*$H$42,F53-D53)</f>
        <v>161497.6551724125</v>
      </c>
      <c r="H53" s="121">
        <f t="shared" si="5"/>
        <v>134.58137931034372</v>
      </c>
      <c r="J53" s="3"/>
    </row>
    <row r="54" spans="1:10" ht="12.75" outlineLevel="1">
      <c r="A54" s="58" t="s">
        <v>9</v>
      </c>
      <c r="B54" s="143">
        <v>31</v>
      </c>
      <c r="C54" s="22"/>
      <c r="D54" s="121">
        <f t="shared" si="2"/>
        <v>65100</v>
      </c>
      <c r="E54" s="165">
        <f t="shared" si="3"/>
        <v>3.3333333333333335</v>
      </c>
      <c r="F54" s="121">
        <f>SUMPRODUCT($B$27:$B$39*$F$27:$F$39)*2000*$E$42</f>
        <v>156248.2758620523</v>
      </c>
      <c r="G54" s="121">
        <f>IF(F54-D54&gt;0,((F54-D54)/$E$42)*$F$40*$H$42,F54-D54)</f>
        <v>69272.68965515976</v>
      </c>
      <c r="H54" s="121">
        <f t="shared" si="5"/>
        <v>57.727241379299805</v>
      </c>
      <c r="I54" s="167" t="s">
        <v>216</v>
      </c>
      <c r="J54" s="3"/>
    </row>
    <row r="55" spans="1:10" ht="12.75" outlineLevel="1">
      <c r="A55" s="58" t="s">
        <v>10</v>
      </c>
      <c r="B55" s="143">
        <v>31</v>
      </c>
      <c r="C55" s="22"/>
      <c r="D55" s="121">
        <f t="shared" si="2"/>
        <v>65100</v>
      </c>
      <c r="E55" s="165">
        <f t="shared" si="3"/>
        <v>3.3333333333333335</v>
      </c>
      <c r="F55" s="121">
        <f>SUMPRODUCT($B$27:$B$39*$G$27:$G$39)*2000*$E$42</f>
        <v>82665.51724139912</v>
      </c>
      <c r="G55" s="121">
        <f>IF(F55-D55&gt;0,((F55-D55)/$E$42)*$G$40*$H$42,F55-D55)</f>
        <v>13349.793103463333</v>
      </c>
      <c r="H55" s="121">
        <f t="shared" si="5"/>
        <v>11.124827586219444</v>
      </c>
      <c r="I55" s="181" t="s">
        <v>217</v>
      </c>
      <c r="J55" s="3"/>
    </row>
    <row r="56" spans="1:9" ht="12.75" outlineLevel="1">
      <c r="A56" s="58" t="s">
        <v>18</v>
      </c>
      <c r="B56" s="143">
        <v>30</v>
      </c>
      <c r="C56" s="22"/>
      <c r="D56" s="121">
        <f t="shared" si="2"/>
        <v>63000</v>
      </c>
      <c r="E56" s="165">
        <f t="shared" si="3"/>
        <v>3.3333333333333335</v>
      </c>
      <c r="F56" s="121">
        <f>SUMPRODUCT($B$27:$B$39*$H$27:$H$39)*2000*$E$42</f>
        <v>87832.75862064704</v>
      </c>
      <c r="G56" s="121">
        <f>IF(F56-D56&gt;0,((F56-D56)/$E$42)*$H$40*$H$42,F56-D56)</f>
        <v>16886.275862039987</v>
      </c>
      <c r="H56" s="121">
        <f t="shared" si="5"/>
        <v>14.071896551699991</v>
      </c>
      <c r="I56" s="184">
        <f>SUM(G52:G56)</f>
        <v>395094.00000000006</v>
      </c>
    </row>
    <row r="57" spans="1:10" ht="12.75" outlineLevel="1">
      <c r="A57" s="58" t="s">
        <v>19</v>
      </c>
      <c r="B57" s="143">
        <v>31</v>
      </c>
      <c r="C57" s="22"/>
      <c r="D57" s="121">
        <f t="shared" si="2"/>
        <v>65100</v>
      </c>
      <c r="E57" s="165">
        <f t="shared" si="3"/>
        <v>3.3333333333333335</v>
      </c>
      <c r="F57" s="121"/>
      <c r="G57" s="121">
        <f t="shared" si="4"/>
        <v>-65100</v>
      </c>
      <c r="H57" s="121">
        <f t="shared" si="5"/>
        <v>0</v>
      </c>
      <c r="J57" s="27"/>
    </row>
    <row r="58" spans="1:8" ht="12.75" outlineLevel="1">
      <c r="A58" s="58" t="s">
        <v>20</v>
      </c>
      <c r="B58" s="143">
        <v>30</v>
      </c>
      <c r="C58" s="22">
        <v>0.05</v>
      </c>
      <c r="D58" s="121">
        <f t="shared" si="2"/>
        <v>66150</v>
      </c>
      <c r="E58" s="165">
        <f t="shared" si="3"/>
        <v>3.5</v>
      </c>
      <c r="F58" s="121"/>
      <c r="G58" s="121">
        <f t="shared" si="4"/>
        <v>-66150</v>
      </c>
      <c r="H58" s="121">
        <f t="shared" si="5"/>
        <v>0</v>
      </c>
    </row>
    <row r="59" spans="1:8" ht="12.75" outlineLevel="1">
      <c r="A59" s="58" t="s">
        <v>21</v>
      </c>
      <c r="B59" s="143">
        <v>31</v>
      </c>
      <c r="C59" s="22">
        <v>0.05</v>
      </c>
      <c r="D59" s="121">
        <f t="shared" si="2"/>
        <v>68355</v>
      </c>
      <c r="E59" s="165">
        <f t="shared" si="3"/>
        <v>3.500000000000001</v>
      </c>
      <c r="F59" s="121"/>
      <c r="G59" s="121">
        <f t="shared" si="4"/>
        <v>-68355</v>
      </c>
      <c r="H59" s="121">
        <f t="shared" si="5"/>
        <v>0</v>
      </c>
    </row>
    <row r="60" spans="1:9" s="7" customFormat="1" ht="12.75">
      <c r="A60" s="144" t="s">
        <v>22</v>
      </c>
      <c r="B60" s="101"/>
      <c r="C60" s="101"/>
      <c r="D60" s="166">
        <f>SUM(D48:D59)</f>
        <v>783930</v>
      </c>
      <c r="E60" s="101"/>
      <c r="F60" s="166">
        <f>SUM(F48:F59)</f>
        <v>915822.4137931087</v>
      </c>
      <c r="G60" s="166">
        <f>SUM(G48:G59)</f>
        <v>-67535.99999999994</v>
      </c>
      <c r="H60" s="166">
        <f>SUM(H48:H59)</f>
        <v>329.24500000000006</v>
      </c>
      <c r="I60" s="170"/>
    </row>
    <row r="61" spans="1:15" s="7" customFormat="1" ht="12.75">
      <c r="A61" s="140"/>
      <c r="B61" s="46" t="s">
        <v>205</v>
      </c>
      <c r="C61" s="127">
        <v>14</v>
      </c>
      <c r="D61" s="140"/>
      <c r="E61" s="141"/>
      <c r="F61" s="141"/>
      <c r="G61" s="128" t="s">
        <v>206</v>
      </c>
      <c r="H61" s="129">
        <v>1</v>
      </c>
      <c r="I61" s="167"/>
      <c r="J61" s="3"/>
      <c r="K61"/>
      <c r="L61" s="11"/>
      <c r="M61"/>
      <c r="N61" s="11"/>
      <c r="O61"/>
    </row>
    <row r="62" spans="1:16" s="7" customFormat="1" ht="12.75">
      <c r="A62" s="140"/>
      <c r="B62" s="46" t="s">
        <v>135</v>
      </c>
      <c r="C62" s="53">
        <v>1</v>
      </c>
      <c r="D62" s="144" t="s">
        <v>179</v>
      </c>
      <c r="E62" s="61"/>
      <c r="F62" s="61"/>
      <c r="G62" s="61"/>
      <c r="H62" s="141"/>
      <c r="I62" s="177"/>
      <c r="J62" s="3"/>
      <c r="K62"/>
      <c r="L62" s="11"/>
      <c r="M62"/>
      <c r="N62" s="11"/>
      <c r="O62"/>
      <c r="P62" s="28"/>
    </row>
    <row r="63" spans="1:15" s="7" customFormat="1" ht="12.75">
      <c r="A63" s="130" t="s">
        <v>125</v>
      </c>
      <c r="B63" s="112">
        <f>(B13*B6*F7*C62+B13*C61*H61)/2000</f>
        <v>46.9</v>
      </c>
      <c r="C63" s="144" t="s">
        <v>23</v>
      </c>
      <c r="D63" s="112">
        <f>B63*0.9*0.8*2000</f>
        <v>67536</v>
      </c>
      <c r="E63" s="65" t="s">
        <v>207</v>
      </c>
      <c r="F63" s="140" t="s">
        <v>208</v>
      </c>
      <c r="G63" s="140"/>
      <c r="H63" s="140"/>
      <c r="I63" s="177"/>
      <c r="J63" s="3"/>
      <c r="K63"/>
      <c r="L63" s="11"/>
      <c r="M63"/>
      <c r="N63"/>
      <c r="O63"/>
    </row>
    <row r="64" spans="1:16" s="7" customFormat="1" ht="12.75">
      <c r="A64" s="46" t="s">
        <v>24</v>
      </c>
      <c r="B64" s="189">
        <v>0</v>
      </c>
      <c r="C64" s="144" t="s">
        <v>23</v>
      </c>
      <c r="D64" s="112">
        <f>B64*2000*H42</f>
        <v>0</v>
      </c>
      <c r="E64" s="65" t="s">
        <v>207</v>
      </c>
      <c r="F64" s="140"/>
      <c r="G64" s="140"/>
      <c r="H64" s="140"/>
      <c r="I64" s="177"/>
      <c r="J64" s="3"/>
      <c r="K64"/>
      <c r="L64" s="11"/>
      <c r="M64"/>
      <c r="N64" s="30"/>
      <c r="O64" s="3"/>
      <c r="P64" s="28"/>
    </row>
    <row r="65" spans="1:16" s="7" customFormat="1" ht="12.75">
      <c r="A65" s="130"/>
      <c r="B65" s="61"/>
      <c r="C65" s="130" t="s">
        <v>212</v>
      </c>
      <c r="D65" s="157">
        <f>G60+D63+D64</f>
        <v>5.820766091346741E-11</v>
      </c>
      <c r="E65" s="65" t="s">
        <v>207</v>
      </c>
      <c r="F65" s="140"/>
      <c r="G65" s="140"/>
      <c r="H65" s="140"/>
      <c r="I65" s="178"/>
      <c r="J65" s="3"/>
      <c r="K65"/>
      <c r="L65" s="11"/>
      <c r="M65"/>
      <c r="N65"/>
      <c r="O65"/>
      <c r="P65" s="28"/>
    </row>
    <row r="66" spans="1:16" s="7" customFormat="1" ht="12.75">
      <c r="A66" s="130" t="s">
        <v>204</v>
      </c>
      <c r="B66" s="112" t="b">
        <f>IF(D65&lt;0,-D65/H42/2000)</f>
        <v>0</v>
      </c>
      <c r="C66" s="144" t="s">
        <v>23</v>
      </c>
      <c r="D66" s="112">
        <f>B66*2000*H42</f>
        <v>0</v>
      </c>
      <c r="E66" s="65" t="s">
        <v>207</v>
      </c>
      <c r="F66" s="140"/>
      <c r="G66" s="140"/>
      <c r="H66" s="140"/>
      <c r="I66" s="177"/>
      <c r="J66" s="3"/>
      <c r="K66"/>
      <c r="L66" s="11"/>
      <c r="M66"/>
      <c r="N66" s="30"/>
      <c r="O66" s="3"/>
      <c r="P66" s="28"/>
    </row>
    <row r="67" spans="1:16" ht="12.75">
      <c r="A67" s="66" t="s">
        <v>93</v>
      </c>
      <c r="B67" s="113">
        <f>IF(D65&gt;0,D65/H42/2000)</f>
        <v>4.8506384094556176E-14</v>
      </c>
      <c r="C67" s="149" t="s">
        <v>23</v>
      </c>
      <c r="D67" s="149"/>
      <c r="I67" s="179"/>
      <c r="J67" s="7"/>
      <c r="K67" s="7"/>
      <c r="L67" s="14"/>
      <c r="M67" s="7"/>
      <c r="N67" s="14"/>
      <c r="O67" s="7"/>
      <c r="P67" s="29"/>
    </row>
    <row r="68" spans="1:9" ht="12.75">
      <c r="A68" s="52" t="s">
        <v>194</v>
      </c>
      <c r="B68" s="22">
        <v>35</v>
      </c>
      <c r="C68" s="110" t="s">
        <v>80</v>
      </c>
      <c r="D68" s="161" t="s">
        <v>96</v>
      </c>
      <c r="E68" s="162" t="s">
        <v>97</v>
      </c>
      <c r="G68" s="58"/>
      <c r="H68" s="58"/>
      <c r="I68" s="177"/>
    </row>
    <row r="69" spans="1:7" ht="12.75">
      <c r="A69" s="58"/>
      <c r="B69" s="143" t="s">
        <v>201</v>
      </c>
      <c r="C69" s="98" t="s">
        <v>173</v>
      </c>
      <c r="D69" s="161" t="s">
        <v>166</v>
      </c>
      <c r="E69" s="162" t="s">
        <v>124</v>
      </c>
      <c r="G69" s="61"/>
    </row>
    <row r="70" spans="1:7" ht="12.75">
      <c r="A70" s="66" t="s">
        <v>195</v>
      </c>
      <c r="B70" s="66">
        <f>E15-B68</f>
        <v>65</v>
      </c>
      <c r="C70" s="22">
        <v>3.5</v>
      </c>
      <c r="D70" s="66">
        <f>C70*B70</f>
        <v>227.5</v>
      </c>
      <c r="E70" s="67">
        <f>B15*D70/2000</f>
        <v>14.3325</v>
      </c>
      <c r="G70" s="130"/>
    </row>
    <row r="71" spans="1:7" ht="12.75">
      <c r="A71" s="66" t="s">
        <v>196</v>
      </c>
      <c r="B71" s="66">
        <f>E16-B68</f>
        <v>95</v>
      </c>
      <c r="C71" s="22">
        <v>3.5</v>
      </c>
      <c r="D71" s="66">
        <f>C71*B71</f>
        <v>332.5</v>
      </c>
      <c r="E71" s="67">
        <f>B16*D71/2000</f>
        <v>0.83125</v>
      </c>
      <c r="G71" s="130"/>
    </row>
    <row r="72" spans="1:7" ht="12.75">
      <c r="A72" s="66" t="s">
        <v>197</v>
      </c>
      <c r="B72" s="66">
        <f>D17-B68</f>
        <v>35</v>
      </c>
      <c r="C72" s="22">
        <v>3</v>
      </c>
      <c r="D72" s="66">
        <f>C72*B72</f>
        <v>105</v>
      </c>
      <c r="E72" s="67">
        <f>B17*D72/2000</f>
        <v>28.2975</v>
      </c>
      <c r="G72" s="130"/>
    </row>
    <row r="73" spans="1:7" ht="12.75">
      <c r="A73" s="66" t="s">
        <v>198</v>
      </c>
      <c r="B73" s="66">
        <f>D18-B68</f>
        <v>35</v>
      </c>
      <c r="C73" s="22">
        <v>3</v>
      </c>
      <c r="D73" s="66">
        <f>C73*B73</f>
        <v>105</v>
      </c>
      <c r="E73" s="67">
        <f>B18*D73/2000</f>
        <v>34.65</v>
      </c>
      <c r="F73" s="149"/>
      <c r="G73" s="149"/>
    </row>
    <row r="74" spans="1:7" ht="12.75">
      <c r="A74" s="66" t="s">
        <v>199</v>
      </c>
      <c r="C74" s="58"/>
      <c r="D74" s="58"/>
      <c r="E74" s="68">
        <f>B63</f>
        <v>46.9</v>
      </c>
      <c r="F74" s="149"/>
      <c r="G74" s="149"/>
    </row>
    <row r="75" spans="1:7" ht="12.75">
      <c r="A75" s="66" t="s">
        <v>200</v>
      </c>
      <c r="C75" s="58"/>
      <c r="D75" s="58"/>
      <c r="E75" s="64">
        <f>SUM(E70:E74)</f>
        <v>125.01124999999999</v>
      </c>
      <c r="F75" s="149"/>
      <c r="G75" s="149"/>
    </row>
    <row r="76" spans="2:7" ht="12.75">
      <c r="B76" s="48" t="s">
        <v>168</v>
      </c>
      <c r="C76" s="161" t="s">
        <v>22</v>
      </c>
      <c r="D76" s="58"/>
      <c r="E76" s="64"/>
      <c r="F76" s="149"/>
      <c r="G76" s="149"/>
    </row>
    <row r="77" spans="1:7" ht="12.75">
      <c r="A77" s="150" t="s">
        <v>167</v>
      </c>
      <c r="B77" s="41">
        <v>210</v>
      </c>
      <c r="C77" s="77">
        <f>E75*B77</f>
        <v>26252.3625</v>
      </c>
      <c r="G77" s="64"/>
    </row>
    <row r="78" spans="1:3" ht="12.75">
      <c r="A78" s="66" t="s">
        <v>24</v>
      </c>
      <c r="B78" s="41">
        <v>150</v>
      </c>
      <c r="C78" s="77">
        <f>(B64+B66)*B78</f>
        <v>0</v>
      </c>
    </row>
    <row r="79" spans="1:10" ht="12.75">
      <c r="A79" s="151" t="s">
        <v>93</v>
      </c>
      <c r="B79" s="41">
        <v>130</v>
      </c>
      <c r="C79" s="77">
        <f>B67*B79</f>
        <v>6.305829932292303E-12</v>
      </c>
      <c r="J79" s="3"/>
    </row>
    <row r="80" spans="4:10" ht="12.75">
      <c r="D80" s="152" t="s">
        <v>2</v>
      </c>
      <c r="F80" s="58"/>
      <c r="H80" s="64"/>
      <c r="J80" s="4"/>
    </row>
    <row r="81" spans="1:12" s="86" customFormat="1" ht="12.75">
      <c r="A81" s="88" t="s">
        <v>101</v>
      </c>
      <c r="B81" s="153"/>
      <c r="C81" s="153"/>
      <c r="D81" s="153"/>
      <c r="E81" s="153"/>
      <c r="F81" s="153"/>
      <c r="G81" s="48" t="s">
        <v>31</v>
      </c>
      <c r="H81" s="161" t="s">
        <v>22</v>
      </c>
      <c r="I81" s="180"/>
      <c r="L81" s="87"/>
    </row>
    <row r="82" spans="1:8" ht="12.75">
      <c r="A82" s="161" t="s">
        <v>214</v>
      </c>
      <c r="D82" s="161" t="s">
        <v>131</v>
      </c>
      <c r="E82" s="48" t="s">
        <v>132</v>
      </c>
      <c r="G82" s="48" t="s">
        <v>103</v>
      </c>
      <c r="H82" s="161" t="s">
        <v>104</v>
      </c>
    </row>
    <row r="83" spans="1:8" ht="12.75">
      <c r="A83" s="66" t="s">
        <v>169</v>
      </c>
      <c r="B83" s="121">
        <f>B41</f>
        <v>401.103448276359</v>
      </c>
      <c r="C83" s="143" t="s">
        <v>25</v>
      </c>
      <c r="D83" s="121">
        <f>SQRT(B83)*209*4</f>
        <v>16743.04618600075</v>
      </c>
      <c r="E83" s="190">
        <v>0</v>
      </c>
      <c r="F83" s="58" t="s">
        <v>26</v>
      </c>
      <c r="G83" s="192">
        <v>0.5</v>
      </c>
      <c r="H83" s="163">
        <f>E83*G83</f>
        <v>0</v>
      </c>
    </row>
    <row r="84" spans="1:8" ht="12.75">
      <c r="A84" s="191" t="s">
        <v>170</v>
      </c>
      <c r="B84" s="190">
        <v>0</v>
      </c>
      <c r="C84" s="143" t="s">
        <v>25</v>
      </c>
      <c r="D84" s="121">
        <f>SQRT(B84)*209*4</f>
        <v>0</v>
      </c>
      <c r="E84" s="190">
        <v>0</v>
      </c>
      <c r="F84" s="58" t="s">
        <v>26</v>
      </c>
      <c r="G84" s="192">
        <v>0.3</v>
      </c>
      <c r="H84" s="163">
        <f>E84*G84</f>
        <v>0</v>
      </c>
    </row>
    <row r="85" spans="1:8" ht="12.75">
      <c r="A85" s="52" t="s">
        <v>171</v>
      </c>
      <c r="B85" s="190">
        <v>10</v>
      </c>
      <c r="C85" s="143" t="s">
        <v>25</v>
      </c>
      <c r="D85" s="121">
        <f>SQRT(B85)*209*4</f>
        <v>2643.6641239007654</v>
      </c>
      <c r="E85" s="190">
        <v>1200</v>
      </c>
      <c r="F85" s="58" t="s">
        <v>26</v>
      </c>
      <c r="G85" s="192">
        <v>0.67</v>
      </c>
      <c r="H85" s="163">
        <f>E85*G85</f>
        <v>804</v>
      </c>
    </row>
    <row r="86" spans="7:8" ht="12.75">
      <c r="G86" s="58" t="s">
        <v>27</v>
      </c>
      <c r="H86" s="151">
        <f>SUM(H83:H85)</f>
        <v>804</v>
      </c>
    </row>
    <row r="87" ht="12.75">
      <c r="A87" s="58" t="s">
        <v>172</v>
      </c>
    </row>
    <row r="88" spans="1:3" ht="12.75">
      <c r="A88" s="66" t="s">
        <v>28</v>
      </c>
      <c r="B88" s="121">
        <f>(H60+B64+B66)*10</f>
        <v>3292.4500000000007</v>
      </c>
      <c r="C88" s="58" t="s">
        <v>105</v>
      </c>
    </row>
    <row r="89" spans="1:3" ht="12.75">
      <c r="A89" s="52" t="s">
        <v>29</v>
      </c>
      <c r="B89" s="190">
        <v>5000</v>
      </c>
      <c r="C89" s="58" t="s">
        <v>202</v>
      </c>
    </row>
    <row r="90" spans="1:6" ht="12.75">
      <c r="A90" s="35">
        <v>5</v>
      </c>
      <c r="B90" s="58" t="s">
        <v>174</v>
      </c>
      <c r="C90" s="62">
        <f>B89*A90</f>
        <v>25000</v>
      </c>
      <c r="F90" s="58"/>
    </row>
    <row r="91" ht="12.75">
      <c r="A91" s="58"/>
    </row>
    <row r="92" spans="1:4" ht="12.75">
      <c r="A92" s="185" t="s">
        <v>30</v>
      </c>
      <c r="B92" s="185" t="s">
        <v>1</v>
      </c>
      <c r="C92" s="185" t="s">
        <v>31</v>
      </c>
      <c r="D92" s="75" t="s">
        <v>32</v>
      </c>
    </row>
    <row r="93" spans="1:4" ht="12.75" outlineLevel="1">
      <c r="A93" s="31" t="s">
        <v>33</v>
      </c>
      <c r="B93" s="34">
        <v>1</v>
      </c>
      <c r="C93" s="108">
        <v>5000</v>
      </c>
      <c r="D93" s="62">
        <f aca="true" t="shared" si="6" ref="D93:D104">B93*C93</f>
        <v>5000</v>
      </c>
    </row>
    <row r="94" spans="1:4" ht="12.75" outlineLevel="1">
      <c r="A94" s="31" t="s">
        <v>34</v>
      </c>
      <c r="B94" s="34">
        <f>1</f>
        <v>1</v>
      </c>
      <c r="C94" s="108">
        <v>7000</v>
      </c>
      <c r="D94" s="62">
        <f t="shared" si="6"/>
        <v>7000</v>
      </c>
    </row>
    <row r="95" spans="1:4" ht="12.75" outlineLevel="1">
      <c r="A95" s="31" t="s">
        <v>35</v>
      </c>
      <c r="B95" s="34">
        <f>1</f>
        <v>1</v>
      </c>
      <c r="C95" s="108">
        <v>2000</v>
      </c>
      <c r="D95" s="62">
        <f t="shared" si="6"/>
        <v>2000</v>
      </c>
    </row>
    <row r="96" spans="1:8" ht="12.75" outlineLevel="1">
      <c r="A96" s="31" t="s">
        <v>36</v>
      </c>
      <c r="B96" s="34">
        <v>1</v>
      </c>
      <c r="C96" s="108">
        <v>2000</v>
      </c>
      <c r="D96" s="62">
        <f t="shared" si="6"/>
        <v>2000</v>
      </c>
      <c r="E96" s="222" t="s">
        <v>240</v>
      </c>
      <c r="F96" s="222"/>
      <c r="G96" s="222"/>
      <c r="H96" s="213">
        <v>30</v>
      </c>
    </row>
    <row r="97" spans="1:8" ht="12.75" outlineLevel="1">
      <c r="A97" s="31" t="s">
        <v>37</v>
      </c>
      <c r="B97" s="34">
        <f>1</f>
        <v>1</v>
      </c>
      <c r="C97" s="108">
        <v>3000</v>
      </c>
      <c r="D97" s="62">
        <f t="shared" si="6"/>
        <v>3000</v>
      </c>
      <c r="E97" s="222" t="s">
        <v>239</v>
      </c>
      <c r="F97" s="222"/>
      <c r="G97" s="222"/>
      <c r="H97" s="214">
        <v>0.33</v>
      </c>
    </row>
    <row r="98" spans="1:8" ht="12.75" outlineLevel="1">
      <c r="A98" s="31" t="s">
        <v>38</v>
      </c>
      <c r="B98" s="34">
        <f>1</f>
        <v>1</v>
      </c>
      <c r="C98" s="108">
        <v>15000</v>
      </c>
      <c r="D98" s="62">
        <f t="shared" si="6"/>
        <v>15000</v>
      </c>
      <c r="E98" s="212"/>
      <c r="F98" s="222" t="s">
        <v>238</v>
      </c>
      <c r="G98" s="222"/>
      <c r="H98" s="213">
        <v>2</v>
      </c>
    </row>
    <row r="99" spans="1:8" ht="12.75" outlineLevel="1">
      <c r="A99" s="31" t="s">
        <v>98</v>
      </c>
      <c r="B99" s="34">
        <f>1</f>
        <v>1</v>
      </c>
      <c r="C99" s="108">
        <v>3000</v>
      </c>
      <c r="D99" s="62">
        <f t="shared" si="6"/>
        <v>3000</v>
      </c>
      <c r="E99" s="212"/>
      <c r="F99" s="222" t="s">
        <v>241</v>
      </c>
      <c r="G99" s="222"/>
      <c r="H99" s="143">
        <f>INT(B4*H97/(H96/H98))+1</f>
        <v>16</v>
      </c>
    </row>
    <row r="100" spans="1:8" ht="12.75" outlineLevel="1">
      <c r="A100" s="31" t="s">
        <v>99</v>
      </c>
      <c r="B100" s="34">
        <v>1</v>
      </c>
      <c r="C100" s="108">
        <v>500</v>
      </c>
      <c r="D100" s="62">
        <f t="shared" si="6"/>
        <v>500</v>
      </c>
      <c r="F100" s="63" t="s">
        <v>242</v>
      </c>
      <c r="H100" s="22">
        <f>INT(H99)</f>
        <v>16</v>
      </c>
    </row>
    <row r="101" spans="1:4" ht="12.75" outlineLevel="1">
      <c r="A101" s="31" t="s">
        <v>100</v>
      </c>
      <c r="B101" s="153">
        <f>H100</f>
        <v>16</v>
      </c>
      <c r="C101" s="108">
        <v>50</v>
      </c>
      <c r="D101" s="62">
        <f t="shared" si="6"/>
        <v>800</v>
      </c>
    </row>
    <row r="102" spans="1:4" ht="12.75" outlineLevel="1">
      <c r="A102" s="31" t="s">
        <v>102</v>
      </c>
      <c r="B102" s="34">
        <v>1</v>
      </c>
      <c r="C102" s="109">
        <v>2000</v>
      </c>
      <c r="D102" s="62">
        <f t="shared" si="6"/>
        <v>2000</v>
      </c>
    </row>
    <row r="103" spans="1:4" ht="12.75" outlineLevel="1">
      <c r="A103" s="31" t="s">
        <v>175</v>
      </c>
      <c r="B103" s="34">
        <v>1</v>
      </c>
      <c r="C103" s="109">
        <v>4000</v>
      </c>
      <c r="D103" s="62">
        <f t="shared" si="6"/>
        <v>4000</v>
      </c>
    </row>
    <row r="104" spans="1:4" ht="12.75" outlineLevel="1">
      <c r="A104" s="31" t="s">
        <v>213</v>
      </c>
      <c r="B104" s="34">
        <v>1</v>
      </c>
      <c r="C104" s="109">
        <v>10000</v>
      </c>
      <c r="D104" s="62">
        <f t="shared" si="6"/>
        <v>10000</v>
      </c>
    </row>
    <row r="105" spans="1:4" ht="12.75">
      <c r="A105" s="31" t="s">
        <v>39</v>
      </c>
      <c r="B105" s="34"/>
      <c r="C105" s="109"/>
      <c r="D105" s="62">
        <f>B105*C105</f>
        <v>0</v>
      </c>
    </row>
    <row r="106" spans="1:4" ht="12.75">
      <c r="A106" s="31" t="s">
        <v>39</v>
      </c>
      <c r="B106" s="34"/>
      <c r="C106" s="109"/>
      <c r="D106" s="62">
        <f>B106*C106</f>
        <v>0</v>
      </c>
    </row>
    <row r="107" spans="1:4" ht="12.75">
      <c r="A107" s="31" t="s">
        <v>39</v>
      </c>
      <c r="B107" s="34"/>
      <c r="C107" s="109"/>
      <c r="D107" s="62">
        <f>B107*C107</f>
        <v>0</v>
      </c>
    </row>
    <row r="108" spans="1:4" ht="12.75">
      <c r="A108" s="66" t="s">
        <v>27</v>
      </c>
      <c r="C108" s="113"/>
      <c r="D108" s="62">
        <f>SUM(D93:D105)</f>
        <v>54300</v>
      </c>
    </row>
    <row r="109" spans="1:12" s="5" customFormat="1" ht="12.75">
      <c r="A109" s="75" t="s">
        <v>40</v>
      </c>
      <c r="B109" s="76"/>
      <c r="C109" s="76"/>
      <c r="D109" s="59">
        <f>H86+C90+D108</f>
        <v>80104</v>
      </c>
      <c r="E109" s="154"/>
      <c r="F109" s="154"/>
      <c r="G109" s="154"/>
      <c r="H109" s="154"/>
      <c r="I109" s="181"/>
      <c r="L109" s="12"/>
    </row>
    <row r="110" spans="1:12" s="92" customFormat="1" ht="12.75">
      <c r="A110" s="88" t="s">
        <v>41</v>
      </c>
      <c r="B110" s="91"/>
      <c r="C110" s="91"/>
      <c r="D110" s="91"/>
      <c r="E110" s="91"/>
      <c r="F110" s="91"/>
      <c r="G110" s="91"/>
      <c r="H110" s="91"/>
      <c r="I110" s="173"/>
      <c r="L110" s="93"/>
    </row>
    <row r="111" spans="2:8" ht="12.75">
      <c r="B111" s="66" t="s">
        <v>218</v>
      </c>
      <c r="C111" s="62">
        <f>D111*H111</f>
        <v>2500</v>
      </c>
      <c r="D111" s="34">
        <v>250</v>
      </c>
      <c r="E111" s="110" t="s">
        <v>224</v>
      </c>
      <c r="G111" s="52" t="s">
        <v>219</v>
      </c>
      <c r="H111" s="199">
        <v>10</v>
      </c>
    </row>
    <row r="112" spans="2:8" ht="12.75">
      <c r="B112" s="187" t="s">
        <v>221</v>
      </c>
      <c r="C112" s="62">
        <f>IF(D111&lt;=0,IF(B4-H112&gt;0,(B4-H112)*D112*H111/F112,0),0)</f>
        <v>0</v>
      </c>
      <c r="D112" s="34">
        <v>2000</v>
      </c>
      <c r="E112" s="52" t="s">
        <v>223</v>
      </c>
      <c r="F112" s="198">
        <v>500</v>
      </c>
      <c r="G112" s="188" t="s">
        <v>220</v>
      </c>
      <c r="H112" s="200">
        <v>500</v>
      </c>
    </row>
    <row r="113" spans="2:8" ht="12.75">
      <c r="B113" s="66" t="s">
        <v>215</v>
      </c>
      <c r="C113" s="62">
        <f>C77</f>
        <v>26252.3625</v>
      </c>
      <c r="F113" s="207" t="s">
        <v>229</v>
      </c>
      <c r="G113" s="208">
        <f>C112/H111</f>
        <v>0</v>
      </c>
      <c r="H113" s="154" t="s">
        <v>230</v>
      </c>
    </row>
    <row r="114" spans="2:3" ht="12.75">
      <c r="B114" s="66" t="s">
        <v>143</v>
      </c>
      <c r="C114" s="62">
        <f>C78</f>
        <v>0</v>
      </c>
    </row>
    <row r="115" spans="2:3" ht="12.75">
      <c r="B115" s="52" t="s">
        <v>144</v>
      </c>
      <c r="C115" s="41">
        <v>600</v>
      </c>
    </row>
    <row r="116" spans="2:3" ht="12.75">
      <c r="B116" s="52" t="s">
        <v>145</v>
      </c>
      <c r="C116" s="41">
        <v>1500</v>
      </c>
    </row>
    <row r="117" spans="2:7" ht="12.75">
      <c r="B117" s="66" t="s">
        <v>146</v>
      </c>
      <c r="C117" s="62">
        <f>D117*F117</f>
        <v>0</v>
      </c>
      <c r="D117" s="34">
        <v>0</v>
      </c>
      <c r="E117" s="39" t="s">
        <v>133</v>
      </c>
      <c r="F117" s="43">
        <v>10</v>
      </c>
      <c r="G117" s="186" t="s">
        <v>134</v>
      </c>
    </row>
    <row r="118" spans="2:5" ht="12.75">
      <c r="B118" s="66" t="s">
        <v>147</v>
      </c>
      <c r="C118" s="62">
        <f>B13*D118</f>
        <v>7000</v>
      </c>
      <c r="D118" s="209">
        <v>10</v>
      </c>
      <c r="E118" s="110" t="s">
        <v>106</v>
      </c>
    </row>
    <row r="119" spans="2:5" ht="12.75">
      <c r="B119" s="66" t="s">
        <v>232</v>
      </c>
      <c r="C119" s="62">
        <f>(B17+B18)*D119</f>
        <v>2398</v>
      </c>
      <c r="D119" s="42">
        <v>2</v>
      </c>
      <c r="E119" s="110" t="s">
        <v>231</v>
      </c>
    </row>
    <row r="120" spans="2:3" ht="12.75">
      <c r="B120" s="66" t="s">
        <v>148</v>
      </c>
      <c r="C120" s="62">
        <f>SUMPRODUCT(B27:B39*C27:C39)</f>
        <v>3100</v>
      </c>
    </row>
    <row r="121" spans="2:5" ht="12.75">
      <c r="B121" s="66" t="s">
        <v>149</v>
      </c>
      <c r="C121" s="62">
        <f>B41*D121</f>
        <v>6016.551724145385</v>
      </c>
      <c r="D121" s="35">
        <v>15</v>
      </c>
      <c r="E121" s="110" t="s">
        <v>153</v>
      </c>
    </row>
    <row r="122" spans="2:3" ht="12.75">
      <c r="B122" s="52" t="s">
        <v>150</v>
      </c>
      <c r="C122" s="41">
        <f>750</f>
        <v>750</v>
      </c>
    </row>
    <row r="123" spans="2:5" ht="12.75">
      <c r="B123" s="66" t="s">
        <v>176</v>
      </c>
      <c r="C123" s="62">
        <f>D109*D123</f>
        <v>4005.2000000000003</v>
      </c>
      <c r="D123" s="83">
        <v>0.05</v>
      </c>
      <c r="E123" s="110" t="s">
        <v>222</v>
      </c>
    </row>
    <row r="124" spans="2:6" ht="12.75">
      <c r="B124" s="52" t="s">
        <v>151</v>
      </c>
      <c r="C124" s="41">
        <v>300</v>
      </c>
      <c r="D124" s="58"/>
      <c r="F124" s="62"/>
    </row>
    <row r="125" spans="2:5" ht="12.75">
      <c r="B125" s="66" t="s">
        <v>189</v>
      </c>
      <c r="C125" s="62">
        <f>(B13+B14)*D125</f>
        <v>2124</v>
      </c>
      <c r="D125" s="42">
        <v>3</v>
      </c>
      <c r="E125" s="39" t="s">
        <v>190</v>
      </c>
    </row>
    <row r="126" spans="1:8" ht="12.75">
      <c r="A126" s="155"/>
      <c r="B126" s="31" t="s">
        <v>152</v>
      </c>
      <c r="C126" s="41">
        <v>0</v>
      </c>
      <c r="D126" s="42"/>
      <c r="E126" s="155"/>
      <c r="F126" s="155"/>
      <c r="G126" s="155"/>
      <c r="H126" s="155"/>
    </row>
    <row r="127" spans="1:8" ht="12.75">
      <c r="A127" s="155"/>
      <c r="B127" s="31" t="s">
        <v>152</v>
      </c>
      <c r="C127" s="41">
        <v>0</v>
      </c>
      <c r="D127" s="42"/>
      <c r="E127" s="155"/>
      <c r="F127" s="155"/>
      <c r="G127" s="155"/>
      <c r="H127" s="155"/>
    </row>
    <row r="128" spans="1:8" ht="12.75">
      <c r="A128" s="155"/>
      <c r="B128" s="31" t="s">
        <v>152</v>
      </c>
      <c r="C128" s="41">
        <v>0</v>
      </c>
      <c r="D128" s="42"/>
      <c r="E128" s="155"/>
      <c r="F128" s="155"/>
      <c r="G128" s="155"/>
      <c r="H128" s="155"/>
    </row>
    <row r="129" spans="1:8" ht="12.75">
      <c r="A129" s="155"/>
      <c r="B129" s="31" t="s">
        <v>152</v>
      </c>
      <c r="C129" s="41">
        <v>0</v>
      </c>
      <c r="D129" s="42"/>
      <c r="E129" s="155"/>
      <c r="F129" s="155"/>
      <c r="G129" s="155"/>
      <c r="H129" s="155"/>
    </row>
    <row r="130" spans="1:8" ht="12.75">
      <c r="A130" s="155"/>
      <c r="B130" s="31" t="s">
        <v>152</v>
      </c>
      <c r="C130" s="41">
        <v>0</v>
      </c>
      <c r="D130" s="155"/>
      <c r="E130" s="155"/>
      <c r="F130" s="155"/>
      <c r="G130" s="155"/>
      <c r="H130" s="155"/>
    </row>
    <row r="131" spans="1:8" ht="12.75" outlineLevel="1">
      <c r="A131" s="164" t="s">
        <v>32</v>
      </c>
      <c r="B131" s="154"/>
      <c r="C131" s="69">
        <f>SUM(C111:C130)</f>
        <v>56546.114224145385</v>
      </c>
      <c r="D131" s="154"/>
      <c r="E131" s="154"/>
      <c r="F131" s="154"/>
      <c r="G131" s="154"/>
      <c r="H131" s="154"/>
    </row>
    <row r="132" spans="1:4" ht="12.75" outlineLevel="1">
      <c r="A132" s="44" t="s">
        <v>108</v>
      </c>
      <c r="B132" s="161"/>
      <c r="C132" s="161"/>
      <c r="D132" s="161" t="s">
        <v>43</v>
      </c>
    </row>
    <row r="133" spans="2:4" ht="12.75" outlineLevel="1">
      <c r="B133" s="161" t="s">
        <v>44</v>
      </c>
      <c r="C133" s="161" t="s">
        <v>107</v>
      </c>
      <c r="D133" s="161" t="s">
        <v>45</v>
      </c>
    </row>
    <row r="134" spans="1:5" ht="12.75" outlineLevel="1">
      <c r="A134" s="52" t="s">
        <v>233</v>
      </c>
      <c r="B134" s="54">
        <v>0.5</v>
      </c>
      <c r="C134" s="54">
        <v>1</v>
      </c>
      <c r="D134" s="54">
        <v>0.75</v>
      </c>
      <c r="E134" s="143" t="s">
        <v>32</v>
      </c>
    </row>
    <row r="135" spans="1:5" ht="12.75" outlineLevel="1">
      <c r="A135" s="66" t="s">
        <v>46</v>
      </c>
      <c r="B135" s="70">
        <f>B41*H41*B134</f>
        <v>140386.20689672566</v>
      </c>
      <c r="C135" s="70">
        <f>$H$22*$C$134</f>
        <v>241950</v>
      </c>
      <c r="D135" s="70">
        <f>$D$109*$D$134</f>
        <v>60078</v>
      </c>
      <c r="E135" s="62">
        <f>SUM(B135:D135)</f>
        <v>442414.2068967257</v>
      </c>
    </row>
    <row r="136" spans="1:4" ht="12.75" outlineLevel="1">
      <c r="A136" s="66"/>
      <c r="B136" s="143"/>
      <c r="C136" s="143"/>
      <c r="D136" s="143"/>
    </row>
    <row r="137" spans="1:4" ht="12.75" outlineLevel="1">
      <c r="A137" s="52" t="s">
        <v>47</v>
      </c>
      <c r="B137" s="204">
        <f>1-B134</f>
        <v>0.5</v>
      </c>
      <c r="C137" s="204">
        <f>1-C134</f>
        <v>0</v>
      </c>
      <c r="D137" s="204">
        <f>1-D134</f>
        <v>0.25</v>
      </c>
    </row>
    <row r="138" spans="1:5" ht="12.75" outlineLevel="2">
      <c r="A138" s="66" t="s">
        <v>46</v>
      </c>
      <c r="B138" s="70">
        <f>B$41*H$41*B137</f>
        <v>140386.20689672566</v>
      </c>
      <c r="C138" s="70">
        <f>$H$22*C137</f>
        <v>0</v>
      </c>
      <c r="D138" s="70">
        <f>$D$109*D137</f>
        <v>20026</v>
      </c>
      <c r="E138" s="152" t="s">
        <v>2</v>
      </c>
    </row>
    <row r="139" spans="1:8" ht="12.75" outlineLevel="2">
      <c r="A139" s="55" t="s">
        <v>203</v>
      </c>
      <c r="B139" s="56">
        <v>6</v>
      </c>
      <c r="C139" s="56">
        <v>8</v>
      </c>
      <c r="D139" s="56">
        <v>8</v>
      </c>
      <c r="E139" s="154"/>
      <c r="F139" s="154"/>
      <c r="G139" s="154"/>
      <c r="H139" s="154"/>
    </row>
    <row r="140" spans="1:5" ht="12.75" outlineLevel="1">
      <c r="A140" s="66" t="s">
        <v>48</v>
      </c>
      <c r="B140" s="70">
        <f>B139*B138/100</f>
        <v>8423.172413803539</v>
      </c>
      <c r="C140" s="70">
        <f>C139*C138/100</f>
        <v>0</v>
      </c>
      <c r="D140" s="70">
        <f>D139*D138/100</f>
        <v>1602.08</v>
      </c>
      <c r="E140" s="62">
        <f>SUM(B140:D140)</f>
        <v>10025.252413803539</v>
      </c>
    </row>
    <row r="141" spans="1:12" s="23" customFormat="1" ht="13.5" thickBot="1">
      <c r="A141" s="147" t="s">
        <v>49</v>
      </c>
      <c r="B141" s="145"/>
      <c r="C141" s="145"/>
      <c r="D141" s="145"/>
      <c r="E141" s="71">
        <f>C131+E140</f>
        <v>66571.36663794893</v>
      </c>
      <c r="F141" s="145"/>
      <c r="G141" s="145"/>
      <c r="H141" s="145"/>
      <c r="I141" s="174"/>
      <c r="L141" s="24"/>
    </row>
    <row r="142" spans="1:12" s="94" customFormat="1" ht="13.5" thickTop="1">
      <c r="A142" s="133" t="s">
        <v>50</v>
      </c>
      <c r="B142" s="134"/>
      <c r="C142" s="134"/>
      <c r="D142" s="134"/>
      <c r="E142" s="134"/>
      <c r="F142" s="134"/>
      <c r="G142" s="134"/>
      <c r="H142" s="134"/>
      <c r="I142" s="168"/>
      <c r="L142" s="95"/>
    </row>
    <row r="144" spans="1:4" ht="12.75">
      <c r="A144" s="52" t="s">
        <v>142</v>
      </c>
      <c r="B144" s="62">
        <f>D108*C144</f>
        <v>8144.999999992592</v>
      </c>
      <c r="C144" s="32">
        <f>0.149999999999864</f>
        <v>0.14999999999986358</v>
      </c>
      <c r="D144" s="58" t="s">
        <v>51</v>
      </c>
    </row>
    <row r="145" spans="1:4" ht="12.75" outlineLevel="1">
      <c r="A145" s="52" t="s">
        <v>141</v>
      </c>
      <c r="B145" s="62">
        <f>C90*C145</f>
        <v>2499.9999999977263</v>
      </c>
      <c r="C145" s="32">
        <f>0.0999999999999091</f>
        <v>0.09999999999990905</v>
      </c>
      <c r="D145" s="58" t="s">
        <v>51</v>
      </c>
    </row>
    <row r="146" spans="1:6" ht="12.75" outlineLevel="1">
      <c r="A146" s="52" t="s">
        <v>52</v>
      </c>
      <c r="B146" s="62">
        <f>C146*E146</f>
        <v>3500</v>
      </c>
      <c r="C146" s="31">
        <v>500</v>
      </c>
      <c r="D146" s="143" t="s">
        <v>53</v>
      </c>
      <c r="E146" s="78">
        <v>7</v>
      </c>
      <c r="F146" s="58" t="s">
        <v>42</v>
      </c>
    </row>
    <row r="147" spans="1:4" ht="12.75" outlineLevel="1">
      <c r="A147" s="52" t="s">
        <v>54</v>
      </c>
      <c r="B147" s="62">
        <f>E135*C147</f>
        <v>30968.994482770802</v>
      </c>
      <c r="C147" s="32">
        <v>0.07</v>
      </c>
      <c r="D147" s="58" t="s">
        <v>51</v>
      </c>
    </row>
    <row r="148" ht="12.75" outlineLevel="1">
      <c r="A148" s="52"/>
    </row>
    <row r="149" spans="1:12" s="23" customFormat="1" ht="13.5" thickBot="1">
      <c r="A149" s="57" t="s">
        <v>55</v>
      </c>
      <c r="B149" s="71">
        <f>SUM(B144:B147)</f>
        <v>45113.99448276112</v>
      </c>
      <c r="C149" s="145"/>
      <c r="D149" s="146"/>
      <c r="E149" s="148"/>
      <c r="F149" s="148"/>
      <c r="G149" s="145"/>
      <c r="H149" s="145"/>
      <c r="I149" s="174"/>
      <c r="L149" s="24"/>
    </row>
    <row r="150" spans="1:12" s="92" customFormat="1" ht="13.5" thickTop="1">
      <c r="A150" s="88" t="s">
        <v>159</v>
      </c>
      <c r="B150" s="91"/>
      <c r="C150" s="91"/>
      <c r="D150" s="91"/>
      <c r="E150" s="91"/>
      <c r="F150" s="91"/>
      <c r="G150" s="91"/>
      <c r="H150" s="91"/>
      <c r="I150" s="173"/>
      <c r="L150" s="93"/>
    </row>
    <row r="151" ht="12.75">
      <c r="A151" s="58" t="s">
        <v>160</v>
      </c>
    </row>
    <row r="152" spans="1:6" ht="12.75" outlineLevel="1">
      <c r="A152" s="66" t="s">
        <v>56</v>
      </c>
      <c r="B152" s="62">
        <f>C79</f>
        <v>6.305829932292303E-12</v>
      </c>
      <c r="F152" s="58"/>
    </row>
    <row r="153" spans="1:6" ht="12.75" outlineLevel="1">
      <c r="A153" s="66" t="s">
        <v>234</v>
      </c>
      <c r="B153" s="62">
        <f>H23</f>
        <v>127163.5</v>
      </c>
      <c r="F153" s="58"/>
    </row>
    <row r="154" spans="1:6" ht="12.75">
      <c r="A154" s="66" t="s">
        <v>57</v>
      </c>
      <c r="B154" s="62">
        <f>B152+B153</f>
        <v>127163.5</v>
      </c>
      <c r="F154" s="58"/>
    </row>
    <row r="155" spans="1:6" ht="12.75">
      <c r="A155" s="58" t="s">
        <v>154</v>
      </c>
      <c r="B155" s="62">
        <f>E141</f>
        <v>66571.36663794893</v>
      </c>
      <c r="C155" s="101" t="s">
        <v>226</v>
      </c>
      <c r="D155" s="203">
        <f>B155/B$4</f>
        <v>95.10195233992704</v>
      </c>
      <c r="E155" s="220">
        <f>D155/365</f>
        <v>0.2605532940819919</v>
      </c>
      <c r="F155" s="156" t="s">
        <v>243</v>
      </c>
    </row>
    <row r="156" spans="1:12" s="7" customFormat="1" ht="12.75">
      <c r="A156" s="144" t="s">
        <v>157</v>
      </c>
      <c r="B156" s="215">
        <f>B154-B155</f>
        <v>60592.13336205107</v>
      </c>
      <c r="C156" s="101" t="s">
        <v>226</v>
      </c>
      <c r="D156" s="203">
        <f>B156/B$4</f>
        <v>86.56019051721582</v>
      </c>
      <c r="E156" s="61"/>
      <c r="F156" s="144"/>
      <c r="G156" s="61"/>
      <c r="H156" s="61"/>
      <c r="I156" s="170"/>
      <c r="L156" s="14"/>
    </row>
    <row r="157" spans="1:6" ht="12.75">
      <c r="A157" s="58" t="s">
        <v>155</v>
      </c>
      <c r="B157" s="216">
        <f>B144+B145</f>
        <v>10644.99999999032</v>
      </c>
      <c r="F157" s="58"/>
    </row>
    <row r="158" spans="1:12" s="23" customFormat="1" ht="13.5" thickBot="1">
      <c r="A158" s="146" t="s">
        <v>156</v>
      </c>
      <c r="B158" s="217">
        <f>$B$156-$B$157</f>
        <v>49947.13336206075</v>
      </c>
      <c r="C158" s="201" t="s">
        <v>226</v>
      </c>
      <c r="D158" s="202">
        <f>B158/B$4</f>
        <v>71.35304766008679</v>
      </c>
      <c r="E158" s="145"/>
      <c r="F158" s="146"/>
      <c r="G158" s="145"/>
      <c r="H158" s="145"/>
      <c r="I158" s="174"/>
      <c r="L158" s="24"/>
    </row>
    <row r="159" spans="1:12" s="92" customFormat="1" ht="13.5" thickTop="1">
      <c r="A159" s="88" t="s">
        <v>161</v>
      </c>
      <c r="B159" s="218"/>
      <c r="C159" s="91"/>
      <c r="D159" s="91"/>
      <c r="E159" s="91"/>
      <c r="F159" s="91"/>
      <c r="G159" s="91"/>
      <c r="H159" s="91"/>
      <c r="I159" s="173"/>
      <c r="L159" s="93"/>
    </row>
    <row r="160" spans="1:6" ht="12.75" outlineLevel="1">
      <c r="A160" s="44" t="s">
        <v>58</v>
      </c>
      <c r="B160" s="216">
        <f>B158</f>
        <v>49947.13336206075</v>
      </c>
      <c r="F160" s="58"/>
    </row>
    <row r="161" spans="1:6" ht="12.75" outlineLevel="1">
      <c r="A161" s="58" t="s">
        <v>158</v>
      </c>
      <c r="B161" s="216">
        <f>B146</f>
        <v>3500</v>
      </c>
      <c r="F161" s="58"/>
    </row>
    <row r="162" spans="1:12" s="23" customFormat="1" ht="13.5" thickBot="1">
      <c r="A162" s="146" t="s">
        <v>209</v>
      </c>
      <c r="B162" s="217">
        <f>B160-B161</f>
        <v>46447.13336206075</v>
      </c>
      <c r="C162" s="201" t="s">
        <v>226</v>
      </c>
      <c r="D162" s="202">
        <f>B162/B$4</f>
        <v>66.35304766008679</v>
      </c>
      <c r="E162" s="148"/>
      <c r="F162" s="146"/>
      <c r="G162" s="145"/>
      <c r="H162" s="145"/>
      <c r="I162" s="174"/>
      <c r="L162" s="24"/>
    </row>
    <row r="163" spans="1:12" s="92" customFormat="1" ht="13.5" thickTop="1">
      <c r="A163" s="88" t="s">
        <v>60</v>
      </c>
      <c r="B163" s="218"/>
      <c r="C163" s="91"/>
      <c r="D163" s="91"/>
      <c r="E163" s="91"/>
      <c r="F163" s="91"/>
      <c r="G163" s="91"/>
      <c r="H163" s="91"/>
      <c r="I163" s="173"/>
      <c r="L163" s="93"/>
    </row>
    <row r="164" spans="1:6" ht="12.75" outlineLevel="1">
      <c r="A164" s="58" t="s">
        <v>59</v>
      </c>
      <c r="B164" s="216">
        <f>B162</f>
        <v>46447.13336206075</v>
      </c>
      <c r="F164" s="58"/>
    </row>
    <row r="165" spans="1:6" ht="12.75" outlineLevel="1">
      <c r="A165" s="156" t="s">
        <v>162</v>
      </c>
      <c r="B165" s="216">
        <f>B147</f>
        <v>30968.994482770802</v>
      </c>
      <c r="F165" s="58"/>
    </row>
    <row r="166" spans="1:12" s="23" customFormat="1" ht="13.5" thickBot="1">
      <c r="A166" s="146" t="s">
        <v>210</v>
      </c>
      <c r="B166" s="217">
        <f>B164-B165</f>
        <v>15478.138879289945</v>
      </c>
      <c r="C166" s="201" t="s">
        <v>226</v>
      </c>
      <c r="D166" s="202">
        <f>B166/B$4</f>
        <v>22.111626970414207</v>
      </c>
      <c r="E166" s="148"/>
      <c r="F166" s="146"/>
      <c r="G166" s="145"/>
      <c r="H166" s="145"/>
      <c r="I166" s="174"/>
      <c r="L166" s="24"/>
    </row>
    <row r="167" spans="1:6" ht="13.5" thickTop="1">
      <c r="A167" s="72" t="s">
        <v>61</v>
      </c>
      <c r="B167" s="73"/>
      <c r="C167" s="73"/>
      <c r="D167" s="73"/>
      <c r="E167" s="73"/>
      <c r="F167" s="73"/>
    </row>
    <row r="168" spans="1:6" ht="12.75">
      <c r="A168" s="72" t="s">
        <v>114</v>
      </c>
      <c r="B168" s="73"/>
      <c r="C168" s="72" t="s">
        <v>244</v>
      </c>
      <c r="D168" s="73"/>
      <c r="E168" s="73"/>
      <c r="F168" s="73"/>
    </row>
    <row r="169" spans="1:6" ht="12.75">
      <c r="A169" s="72" t="s">
        <v>115</v>
      </c>
      <c r="B169" s="73"/>
      <c r="C169" s="73" t="s">
        <v>118</v>
      </c>
      <c r="D169" s="73"/>
      <c r="E169" s="73"/>
      <c r="F169" s="73"/>
    </row>
    <row r="170" spans="1:6" ht="12.75">
      <c r="A170" s="72" t="s">
        <v>116</v>
      </c>
      <c r="B170" s="73"/>
      <c r="C170" s="73" t="s">
        <v>236</v>
      </c>
      <c r="D170" s="210" t="s">
        <v>237</v>
      </c>
      <c r="E170" s="73"/>
      <c r="F170" s="73"/>
    </row>
    <row r="171" spans="1:6" ht="12.75">
      <c r="A171" s="72" t="s">
        <v>117</v>
      </c>
      <c r="B171" s="73"/>
      <c r="C171" s="73"/>
      <c r="D171" s="73"/>
      <c r="E171" s="73"/>
      <c r="F171" s="73"/>
    </row>
    <row r="172" spans="1:6" ht="12.75">
      <c r="A172" s="73"/>
      <c r="B172" s="73"/>
      <c r="C172" s="73"/>
      <c r="D172" s="73"/>
      <c r="E172" s="73"/>
      <c r="F172" s="73"/>
    </row>
    <row r="173" spans="1:6" ht="12.75">
      <c r="A173" s="73" t="s">
        <v>119</v>
      </c>
      <c r="B173" s="73"/>
      <c r="C173" s="210" t="s">
        <v>235</v>
      </c>
      <c r="D173" s="73"/>
      <c r="E173" s="73"/>
      <c r="F173" s="73"/>
    </row>
    <row r="174" spans="1:6" ht="12.75">
      <c r="A174" s="73"/>
      <c r="B174" s="73"/>
      <c r="C174" s="73"/>
      <c r="D174" s="73"/>
      <c r="E174" s="73"/>
      <c r="F174" s="73"/>
    </row>
    <row r="175" spans="1:6" ht="12.75">
      <c r="A175" s="72" t="s">
        <v>163</v>
      </c>
      <c r="B175" s="73"/>
      <c r="C175" s="73"/>
      <c r="D175" s="73"/>
      <c r="E175" s="73"/>
      <c r="F175" s="73"/>
    </row>
    <row r="176" spans="1:6" ht="12.75">
      <c r="A176" s="73"/>
      <c r="B176" s="73"/>
      <c r="C176" s="72" t="s">
        <v>164</v>
      </c>
      <c r="D176" s="73"/>
      <c r="E176" s="73"/>
      <c r="F176" s="73"/>
    </row>
    <row r="177" spans="1:6" ht="12.75">
      <c r="A177" s="73"/>
      <c r="B177" s="73"/>
      <c r="C177" s="73"/>
      <c r="D177" s="73"/>
      <c r="E177" s="73"/>
      <c r="F177" s="73"/>
    </row>
    <row r="178" spans="1:6" ht="12.75">
      <c r="A178" s="74" t="s">
        <v>62</v>
      </c>
      <c r="B178" s="226">
        <v>36283</v>
      </c>
      <c r="C178" s="226"/>
      <c r="D178" s="74"/>
      <c r="E178" s="223"/>
      <c r="F178" s="223"/>
    </row>
    <row r="179" spans="1:3" ht="12.75">
      <c r="A179" s="74" t="s">
        <v>63</v>
      </c>
      <c r="B179" s="225">
        <f>C2</f>
        <v>39854</v>
      </c>
      <c r="C179" s="225"/>
    </row>
  </sheetData>
  <sheetProtection sheet="1" objects="1" scenarios="1"/>
  <mergeCells count="10">
    <mergeCell ref="C2:D2"/>
    <mergeCell ref="D25:H25"/>
    <mergeCell ref="B179:C179"/>
    <mergeCell ref="B178:C178"/>
    <mergeCell ref="E178:F178"/>
    <mergeCell ref="F98:G98"/>
    <mergeCell ref="G1:H1"/>
    <mergeCell ref="E97:G97"/>
    <mergeCell ref="F99:G99"/>
    <mergeCell ref="E96:G96"/>
  </mergeCells>
  <hyperlinks>
    <hyperlink ref="C173" r:id="rId1" display="http://www.sheep.cornell.edu/"/>
    <hyperlink ref="D170" r:id="rId2" display="mlt2@cornell.edu"/>
  </hyperlinks>
  <printOptions gridLines="1" headings="1"/>
  <pageMargins left="0.31" right="0.5" top="0.56" bottom="0.48" header="0.36" footer="0.33"/>
  <pageSetup firstPageNumber="1" useFirstPageNumber="1" orientation="portrait" r:id="rId4"/>
  <headerFooter alignWithMargins="0">
    <oddHeader>&amp;L&amp;"Albertus Extra Bold,Bold"Sheep Flock&amp;R&amp;"Albertus Extra Bold,Bold"Page &amp;P</oddHeader>
  </headerFooter>
  <rowBreaks count="4" manualBreakCount="4">
    <brk id="42" max="255" man="1"/>
    <brk id="80" max="255" man="1"/>
    <brk id="109" max="255" man="1"/>
    <brk id="141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Thonney</dc:creator>
  <cp:keywords/>
  <dc:description/>
  <cp:lastModifiedBy>SRR 1762 Reviewer2</cp:lastModifiedBy>
  <cp:lastPrinted>1999-12-17T16:27:10Z</cp:lastPrinted>
  <dcterms:created xsi:type="dcterms:W3CDTF">1998-12-21T20:49:19Z</dcterms:created>
  <dcterms:modified xsi:type="dcterms:W3CDTF">2009-02-10T14:21:12Z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