
<file path=[Content_Types].xml><?xml version="1.0" encoding="utf-8"?>
<Types xmlns="http://schemas.openxmlformats.org/package/2006/content-type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omments2.xml" ContentType="application/vnd.openxmlformats-officedocument.spreadsheetml.comment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13"/>
  <workbookPr updateLinks="never" defaultThemeVersion="166925"/>
  <mc:AlternateContent xmlns:mc="http://schemas.openxmlformats.org/markup-compatibility/2006">
    <mc:Choice Requires="x15">
      <x15ac:absPath xmlns:x15ac="http://schemas.microsoft.com/office/spreadsheetml/2010/11/ac" url="/Users/Davis/Desktop/RA Stuff/Vineyard Management Studies/Vineyard Management Tool - Extension/"/>
    </mc:Choice>
  </mc:AlternateContent>
  <xr:revisionPtr revIDLastSave="0" documentId="13_ncr:1_{DCA5A36F-AE95-E046-A4D5-05C5A9A2E0F8}" xr6:coauthVersionLast="46" xr6:coauthVersionMax="46" xr10:uidLastSave="{00000000-0000-0000-0000-000000000000}"/>
  <bookViews>
    <workbookView xWindow="0" yWindow="460" windowWidth="27200" windowHeight="14900" xr2:uid="{D8231BB7-FCC6-A641-AA78-CB135E48639B}"/>
  </bookViews>
  <sheets>
    <sheet name="Introduction" sheetId="14" r:id="rId1"/>
    <sheet name="Individual Sheet Explanations" sheetId="13" r:id="rId2"/>
    <sheet name="General Assumptions" sheetId="1" r:id="rId3"/>
    <sheet name="Quick Key Findings" sheetId="16" r:id="rId4"/>
    <sheet name="V. Establishment &amp; Dev Results" sheetId="3" r:id="rId5"/>
    <sheet name="Mature Vineyard Results" sheetId="11" r:id="rId6"/>
    <sheet name="Machinery &amp; Equipment" sheetId="4" r:id="rId7"/>
    <sheet name="Trellis &amp; Drainage" sheetId="6" r:id="rId8"/>
    <sheet name="Establishment &amp; Dev Costs" sheetId="8" r:id="rId9"/>
    <sheet name="Mature Growing Costs" sheetId="12" r:id="rId10"/>
    <sheet name="Ex. Spray Program" sheetId="5" r:id="rId11"/>
    <sheet name="Ex. Herbidcide Program" sheetId="9" r:id="rId12"/>
    <sheet name="Ex. Fertilizer Program" sheetId="10" r:id="rId13"/>
  </sheets>
  <definedNames>
    <definedName name="_xlnm._FilterDatabase" localSheetId="10" hidden="1">'Ex. Spray Program'!$C$56:$H$76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9" i="4" l="1"/>
  <c r="J22" i="4"/>
  <c r="J23" i="4"/>
  <c r="J24" i="4"/>
  <c r="J25" i="4"/>
  <c r="I13" i="11"/>
  <c r="G30" i="1" l="1"/>
  <c r="G10" i="1"/>
  <c r="K12" i="3" l="1"/>
  <c r="E12" i="1" l="1"/>
  <c r="I18" i="11" l="1"/>
  <c r="J7" i="8" l="1"/>
  <c r="I7" i="8"/>
  <c r="K7" i="12" l="1"/>
  <c r="K8" i="12"/>
  <c r="K10" i="12"/>
  <c r="K11" i="12"/>
  <c r="K12" i="12"/>
  <c r="K13" i="12"/>
  <c r="K14" i="12"/>
  <c r="K15" i="12"/>
  <c r="K16" i="12"/>
  <c r="K17" i="12"/>
  <c r="K18" i="12"/>
  <c r="K19" i="12"/>
  <c r="K20" i="12"/>
  <c r="K21" i="12"/>
  <c r="K22" i="12"/>
  <c r="K23" i="12"/>
  <c r="K24" i="12"/>
  <c r="K25" i="12"/>
  <c r="K26" i="12"/>
  <c r="K27" i="12"/>
  <c r="K28" i="12"/>
  <c r="K29" i="12"/>
  <c r="K30" i="12"/>
  <c r="K31" i="12"/>
  <c r="K32" i="12"/>
  <c r="K33" i="12"/>
  <c r="K34" i="12"/>
  <c r="K35" i="12"/>
  <c r="K36" i="12"/>
  <c r="K37" i="12"/>
  <c r="K39" i="12"/>
  <c r="K6" i="12"/>
  <c r="G6" i="12"/>
  <c r="G7" i="12"/>
  <c r="H7" i="12"/>
  <c r="G8" i="12"/>
  <c r="G9" i="12"/>
  <c r="H9" i="12"/>
  <c r="G10" i="12"/>
  <c r="H10" i="12"/>
  <c r="H40" i="12" s="1"/>
  <c r="I40" i="12" s="1"/>
  <c r="G12" i="12"/>
  <c r="H12" i="12"/>
  <c r="G13" i="12"/>
  <c r="G14" i="12"/>
  <c r="I14" i="12" s="1"/>
  <c r="G15" i="12"/>
  <c r="G16" i="12"/>
  <c r="H16" i="12"/>
  <c r="G18" i="12"/>
  <c r="I18" i="12" s="1"/>
  <c r="H18" i="12"/>
  <c r="G19" i="12"/>
  <c r="I19" i="12" s="1"/>
  <c r="H19" i="12"/>
  <c r="G20" i="12"/>
  <c r="H20" i="12"/>
  <c r="G21" i="12"/>
  <c r="I21" i="12" s="1"/>
  <c r="H21" i="12"/>
  <c r="G22" i="12"/>
  <c r="I22" i="12" s="1"/>
  <c r="H22" i="12"/>
  <c r="G23" i="12"/>
  <c r="I23" i="12" s="1"/>
  <c r="H23" i="12"/>
  <c r="G24" i="12"/>
  <c r="H24" i="12"/>
  <c r="G25" i="12"/>
  <c r="I25" i="12" s="1"/>
  <c r="H25" i="12"/>
  <c r="G26" i="12"/>
  <c r="I26" i="12" s="1"/>
  <c r="H26" i="12"/>
  <c r="G27" i="12"/>
  <c r="I27" i="12" s="1"/>
  <c r="H27" i="12"/>
  <c r="G28" i="12"/>
  <c r="H28" i="12"/>
  <c r="G29" i="12"/>
  <c r="I29" i="12" s="1"/>
  <c r="H29" i="12"/>
  <c r="G30" i="12"/>
  <c r="I30" i="12" s="1"/>
  <c r="H30" i="12"/>
  <c r="G31" i="12"/>
  <c r="I31" i="12" s="1"/>
  <c r="G32" i="12"/>
  <c r="G33" i="12"/>
  <c r="I33" i="12" s="1"/>
  <c r="H33" i="12"/>
  <c r="G34" i="12"/>
  <c r="G35" i="12"/>
  <c r="G36" i="12"/>
  <c r="H36" i="12"/>
  <c r="G37" i="12"/>
  <c r="I37" i="12" s="1"/>
  <c r="H37" i="12"/>
  <c r="G40" i="12"/>
  <c r="I7" i="12"/>
  <c r="I8" i="12"/>
  <c r="I9" i="12"/>
  <c r="I11" i="12"/>
  <c r="I12" i="12"/>
  <c r="I13" i="12"/>
  <c r="I15" i="12"/>
  <c r="I16" i="12"/>
  <c r="I17" i="12"/>
  <c r="I20" i="12"/>
  <c r="I24" i="12"/>
  <c r="I28" i="12"/>
  <c r="I32" i="12"/>
  <c r="I34" i="12"/>
  <c r="I35" i="12"/>
  <c r="I36" i="12"/>
  <c r="I39" i="12"/>
  <c r="I6" i="12"/>
  <c r="I17" i="8"/>
  <c r="I87" i="8"/>
  <c r="I64" i="8"/>
  <c r="I65" i="8"/>
  <c r="I66" i="8"/>
  <c r="I67" i="8"/>
  <c r="I68" i="8"/>
  <c r="I69" i="8"/>
  <c r="I70" i="8"/>
  <c r="I71" i="8"/>
  <c r="I72" i="8"/>
  <c r="I73" i="8"/>
  <c r="I74" i="8"/>
  <c r="I75" i="8"/>
  <c r="I76" i="8"/>
  <c r="I77" i="8"/>
  <c r="I78" i="8"/>
  <c r="I79" i="8"/>
  <c r="I80" i="8"/>
  <c r="I81" i="8"/>
  <c r="I82" i="8"/>
  <c r="I83" i="8"/>
  <c r="I84" i="8"/>
  <c r="I85" i="8"/>
  <c r="I86" i="8"/>
  <c r="I63" i="8"/>
  <c r="I41" i="8"/>
  <c r="I42" i="8"/>
  <c r="I43" i="8"/>
  <c r="I44" i="8"/>
  <c r="I45" i="8"/>
  <c r="I46" i="8"/>
  <c r="I47" i="8"/>
  <c r="I48" i="8"/>
  <c r="I49" i="8"/>
  <c r="I50" i="8"/>
  <c r="I51" i="8"/>
  <c r="I52" i="8"/>
  <c r="I53" i="8"/>
  <c r="I54" i="8"/>
  <c r="I55" i="8"/>
  <c r="I56" i="8"/>
  <c r="I57" i="8"/>
  <c r="I58" i="8"/>
  <c r="I59" i="8"/>
  <c r="I60" i="8"/>
  <c r="I40" i="8"/>
  <c r="I22" i="8"/>
  <c r="I23" i="8"/>
  <c r="I24" i="8"/>
  <c r="I25" i="8"/>
  <c r="I26" i="8"/>
  <c r="I27" i="8"/>
  <c r="I28" i="8"/>
  <c r="I29" i="8"/>
  <c r="I30" i="8"/>
  <c r="I31" i="8"/>
  <c r="I32" i="8"/>
  <c r="I33" i="8"/>
  <c r="I34" i="8"/>
  <c r="I20" i="8"/>
  <c r="I10" i="8"/>
  <c r="I11" i="8"/>
  <c r="I12" i="8"/>
  <c r="I15" i="8"/>
  <c r="I16" i="8"/>
  <c r="I9" i="8"/>
  <c r="I10" i="12" l="1"/>
  <c r="F14" i="10" l="1"/>
  <c r="D26" i="10"/>
  <c r="G51" i="1" l="1"/>
  <c r="E51" i="1"/>
  <c r="D6" i="11" l="1"/>
  <c r="G17" i="1"/>
  <c r="L20" i="3"/>
  <c r="D16" i="11" l="1"/>
  <c r="K72" i="8"/>
  <c r="L18" i="3" s="1"/>
  <c r="G32" i="1"/>
  <c r="D15" i="11" s="1"/>
  <c r="T34" i="12"/>
  <c r="C11" i="6"/>
  <c r="E10" i="1" l="1"/>
  <c r="H25" i="6"/>
  <c r="C20" i="6"/>
  <c r="J21" i="8" l="1"/>
  <c r="G21" i="8"/>
  <c r="I21" i="8" s="1"/>
  <c r="Q16" i="4"/>
  <c r="Q7" i="4"/>
  <c r="I16" i="16"/>
  <c r="I24" i="16" l="1"/>
  <c r="I22" i="16"/>
  <c r="J9" i="12"/>
  <c r="K9" i="12" s="1"/>
  <c r="J66" i="8"/>
  <c r="J42" i="8"/>
  <c r="H23" i="6"/>
  <c r="H24" i="6"/>
  <c r="H22" i="6"/>
  <c r="R19" i="11" l="1"/>
  <c r="S19" i="11"/>
  <c r="T19" i="11"/>
  <c r="U19" i="11"/>
  <c r="V19" i="11"/>
  <c r="W19" i="11"/>
  <c r="X19" i="11"/>
  <c r="Y19" i="11"/>
  <c r="Z19" i="11"/>
  <c r="AA19" i="11"/>
  <c r="AB19" i="11"/>
  <c r="AC19" i="11"/>
  <c r="AD19" i="11"/>
  <c r="AE19" i="11"/>
  <c r="AF19" i="11"/>
  <c r="AG19" i="11"/>
  <c r="AH19" i="11"/>
  <c r="AI19" i="11"/>
  <c r="AJ19" i="11"/>
  <c r="AK19" i="11"/>
  <c r="AL19" i="11"/>
  <c r="AM19" i="11"/>
  <c r="AN19" i="11"/>
  <c r="AO19" i="11"/>
  <c r="AP19" i="11"/>
  <c r="AQ19" i="11"/>
  <c r="AR19" i="11"/>
  <c r="AS19" i="11"/>
  <c r="AT19" i="11"/>
  <c r="AU19" i="11"/>
  <c r="AV19" i="11"/>
  <c r="AW19" i="11"/>
  <c r="AX19" i="11"/>
  <c r="AY19" i="11"/>
  <c r="AZ19" i="11"/>
  <c r="BA19" i="11"/>
  <c r="BB19" i="11"/>
  <c r="BC19" i="11"/>
  <c r="BD19" i="11"/>
  <c r="BE19" i="11"/>
  <c r="BF19" i="11"/>
  <c r="BG19" i="11"/>
  <c r="BH19" i="11"/>
  <c r="BI19" i="11"/>
  <c r="BJ19" i="11"/>
  <c r="Q19" i="11"/>
  <c r="F9" i="3"/>
  <c r="G9" i="3"/>
  <c r="G21" i="3"/>
  <c r="F21" i="3"/>
  <c r="E21" i="3"/>
  <c r="G19" i="3"/>
  <c r="F19" i="3"/>
  <c r="E19" i="3"/>
  <c r="M20" i="4"/>
  <c r="M21" i="4"/>
  <c r="M22" i="4"/>
  <c r="M19" i="4"/>
  <c r="M8" i="4"/>
  <c r="M9" i="4"/>
  <c r="M10" i="4"/>
  <c r="M11" i="4"/>
  <c r="M12" i="4"/>
  <c r="M13" i="4"/>
  <c r="M14" i="4"/>
  <c r="M15" i="4"/>
  <c r="M16" i="4"/>
  <c r="M17" i="4"/>
  <c r="M18" i="4"/>
  <c r="M7" i="4"/>
  <c r="F7" i="4"/>
  <c r="G7" i="4" s="1"/>
  <c r="G73" i="8"/>
  <c r="G74" i="8"/>
  <c r="G75" i="8"/>
  <c r="G76" i="8"/>
  <c r="G77" i="8"/>
  <c r="G78" i="8"/>
  <c r="G79" i="8"/>
  <c r="G80" i="8"/>
  <c r="G81" i="8"/>
  <c r="G82" i="8"/>
  <c r="G83" i="8"/>
  <c r="G84" i="8"/>
  <c r="G70" i="8"/>
  <c r="G66" i="8"/>
  <c r="G67" i="8"/>
  <c r="G65" i="8"/>
  <c r="G63" i="8"/>
  <c r="G50" i="8"/>
  <c r="G51" i="8"/>
  <c r="G52" i="8"/>
  <c r="G53" i="8"/>
  <c r="G54" i="8"/>
  <c r="G55" i="8"/>
  <c r="G56" i="8"/>
  <c r="G49" i="8"/>
  <c r="G47" i="8"/>
  <c r="G43" i="8"/>
  <c r="G44" i="8"/>
  <c r="G42" i="8"/>
  <c r="G40" i="8"/>
  <c r="G28" i="8"/>
  <c r="G29" i="8"/>
  <c r="G30" i="8"/>
  <c r="G31" i="8"/>
  <c r="G32" i="8"/>
  <c r="G27" i="8"/>
  <c r="G26" i="8"/>
  <c r="G25" i="8"/>
  <c r="G23" i="8"/>
  <c r="G22" i="8"/>
  <c r="G20" i="8"/>
  <c r="G12" i="8"/>
  <c r="G11" i="8"/>
  <c r="G71" i="8"/>
  <c r="G69" i="8"/>
  <c r="G68" i="8"/>
  <c r="G64" i="8"/>
  <c r="G57" i="8"/>
  <c r="G48" i="8"/>
  <c r="G46" i="8"/>
  <c r="G45" i="8"/>
  <c r="G41" i="8"/>
  <c r="G24" i="8"/>
  <c r="G10" i="8"/>
  <c r="E9" i="3"/>
  <c r="F8" i="3"/>
  <c r="G8" i="3"/>
  <c r="G15" i="3" s="1"/>
  <c r="E8" i="3"/>
  <c r="F8" i="4"/>
  <c r="G8" i="4" s="1"/>
  <c r="F9" i="4"/>
  <c r="G9" i="4" s="1"/>
  <c r="F10" i="4"/>
  <c r="G10" i="4" s="1"/>
  <c r="F11" i="4"/>
  <c r="G11" i="4" s="1"/>
  <c r="F12" i="4"/>
  <c r="G12" i="4" s="1"/>
  <c r="F13" i="4"/>
  <c r="G13" i="4" s="1"/>
  <c r="F14" i="4"/>
  <c r="G14" i="4" s="1"/>
  <c r="F15" i="4"/>
  <c r="G15" i="4" s="1"/>
  <c r="F16" i="4"/>
  <c r="G16" i="4" s="1"/>
  <c r="F17" i="4"/>
  <c r="G17" i="4" s="1"/>
  <c r="F18" i="4"/>
  <c r="G18" i="4" s="1"/>
  <c r="F20" i="4"/>
  <c r="G20" i="4" s="1"/>
  <c r="F21" i="4"/>
  <c r="G21" i="4" s="1"/>
  <c r="F22" i="4"/>
  <c r="G22" i="4" s="1"/>
  <c r="F23" i="4"/>
  <c r="G23" i="4" s="1"/>
  <c r="F24" i="4"/>
  <c r="G24" i="4" s="1"/>
  <c r="F25" i="4"/>
  <c r="G25" i="4" s="1"/>
  <c r="O19" i="11"/>
  <c r="P19" i="11"/>
  <c r="N19" i="11"/>
  <c r="M19" i="11"/>
  <c r="L7" i="11"/>
  <c r="O4" i="11"/>
  <c r="Q4" i="11" s="1"/>
  <c r="D7" i="11"/>
  <c r="E13" i="1"/>
  <c r="E14" i="1"/>
  <c r="M11" i="1"/>
  <c r="L11" i="1"/>
  <c r="K11" i="1"/>
  <c r="J11" i="1"/>
  <c r="L5" i="11" l="1"/>
  <c r="D17" i="11"/>
  <c r="F10" i="3"/>
  <c r="E23" i="3"/>
  <c r="G10" i="3"/>
  <c r="G23" i="3"/>
  <c r="F23" i="3"/>
  <c r="L6" i="11"/>
  <c r="L8" i="11"/>
  <c r="L9" i="11"/>
  <c r="N4" i="11"/>
  <c r="P4" i="11"/>
  <c r="M4" i="11"/>
  <c r="AL17" i="11"/>
  <c r="AL18" i="11" s="1"/>
  <c r="AM17" i="11"/>
  <c r="AM18" i="11" s="1"/>
  <c r="AN17" i="11"/>
  <c r="AN18" i="11" s="1"/>
  <c r="AO17" i="11"/>
  <c r="AO18" i="11" s="1"/>
  <c r="AP17" i="11"/>
  <c r="AP18" i="11" s="1"/>
  <c r="AP20" i="11" s="1"/>
  <c r="AQ17" i="11"/>
  <c r="AQ18" i="11" s="1"/>
  <c r="AQ20" i="11" s="1"/>
  <c r="AR17" i="11"/>
  <c r="AR18" i="11" s="1"/>
  <c r="AS17" i="11"/>
  <c r="AS18" i="11" s="1"/>
  <c r="AT17" i="11"/>
  <c r="AT18" i="11" s="1"/>
  <c r="AU17" i="11"/>
  <c r="AU18" i="11" s="1"/>
  <c r="AU20" i="11" s="1"/>
  <c r="AV17" i="11"/>
  <c r="AV18" i="11" s="1"/>
  <c r="AW17" i="11"/>
  <c r="AW18" i="11" s="1"/>
  <c r="AX17" i="11"/>
  <c r="AX18" i="11" s="1"/>
  <c r="AY17" i="11"/>
  <c r="AY18" i="11" s="1"/>
  <c r="AZ17" i="11"/>
  <c r="AZ18" i="11" s="1"/>
  <c r="BA17" i="11"/>
  <c r="BA18" i="11" s="1"/>
  <c r="BB17" i="11"/>
  <c r="BB18" i="11" s="1"/>
  <c r="BB20" i="11" s="1"/>
  <c r="BC17" i="11"/>
  <c r="BC18" i="11" s="1"/>
  <c r="BD17" i="11"/>
  <c r="BD18" i="11" s="1"/>
  <c r="BE17" i="11"/>
  <c r="BE18" i="11" s="1"/>
  <c r="BF17" i="11"/>
  <c r="BF18" i="11" s="1"/>
  <c r="BF20" i="11" s="1"/>
  <c r="BG17" i="11"/>
  <c r="BG18" i="11" s="1"/>
  <c r="BG20" i="11" s="1"/>
  <c r="BH17" i="11"/>
  <c r="BH18" i="11" s="1"/>
  <c r="BI17" i="11"/>
  <c r="BI18" i="11" s="1"/>
  <c r="BJ17" i="11"/>
  <c r="BJ18" i="11" s="1"/>
  <c r="I7" i="5"/>
  <c r="I10" i="5"/>
  <c r="I13" i="5"/>
  <c r="I17" i="5"/>
  <c r="I21" i="5"/>
  <c r="I23" i="5"/>
  <c r="I27" i="5"/>
  <c r="I32" i="5"/>
  <c r="I37" i="5"/>
  <c r="I41" i="5"/>
  <c r="I45" i="5"/>
  <c r="H49" i="5"/>
  <c r="H44" i="5"/>
  <c r="H40" i="5"/>
  <c r="H36" i="5"/>
  <c r="H31" i="5"/>
  <c r="H26" i="5"/>
  <c r="H22" i="5"/>
  <c r="H20" i="5"/>
  <c r="H16" i="5"/>
  <c r="H12" i="5"/>
  <c r="H9" i="5"/>
  <c r="Q9" i="5"/>
  <c r="C37" i="4"/>
  <c r="C38" i="4"/>
  <c r="C39" i="4" l="1"/>
  <c r="AX20" i="11"/>
  <c r="BC20" i="11"/>
  <c r="AY20" i="11"/>
  <c r="AM20" i="11"/>
  <c r="BJ20" i="11"/>
  <c r="AT20" i="11"/>
  <c r="AL20" i="11"/>
  <c r="BD20" i="11"/>
  <c r="AN20" i="11"/>
  <c r="BE20" i="11"/>
  <c r="AW20" i="11"/>
  <c r="AO20" i="11"/>
  <c r="AR20" i="11"/>
  <c r="BI20" i="11"/>
  <c r="BA20" i="11"/>
  <c r="AS20" i="11"/>
  <c r="BH20" i="11"/>
  <c r="AV20" i="11"/>
  <c r="AZ20" i="11"/>
  <c r="K7" i="3"/>
  <c r="L7" i="3"/>
  <c r="L8" i="3"/>
  <c r="L9" i="3"/>
  <c r="K9" i="3"/>
  <c r="K8" i="3"/>
  <c r="J17" i="3"/>
  <c r="J14" i="3"/>
  <c r="J11" i="3"/>
  <c r="J10" i="3"/>
  <c r="J27" i="8"/>
  <c r="J25" i="8"/>
  <c r="K21" i="1"/>
  <c r="J21" i="1"/>
  <c r="J9" i="8" s="1"/>
  <c r="K9" i="8" s="1"/>
  <c r="M21" i="1"/>
  <c r="L21" i="1"/>
  <c r="G39" i="4" l="1"/>
  <c r="C34" i="4"/>
  <c r="C33" i="4"/>
  <c r="C30" i="4"/>
  <c r="F19" i="4"/>
  <c r="G19" i="4" s="1"/>
  <c r="C35" i="4" l="1"/>
  <c r="G35" i="4" s="1"/>
  <c r="G12" i="3"/>
  <c r="F12" i="3"/>
  <c r="C12" i="6"/>
  <c r="K12" i="6" s="1"/>
  <c r="C10" i="6"/>
  <c r="K10" i="6" s="1"/>
  <c r="N17" i="11" l="1"/>
  <c r="N18" i="11" s="1"/>
  <c r="O17" i="11"/>
  <c r="O18" i="11" s="1"/>
  <c r="P17" i="11"/>
  <c r="P18" i="11" s="1"/>
  <c r="Q17" i="11"/>
  <c r="Q18" i="11" s="1"/>
  <c r="R17" i="11"/>
  <c r="R18" i="11" s="1"/>
  <c r="S17" i="11"/>
  <c r="S18" i="11" s="1"/>
  <c r="T17" i="11"/>
  <c r="T18" i="11" s="1"/>
  <c r="U17" i="11"/>
  <c r="U18" i="11" s="1"/>
  <c r="V17" i="11"/>
  <c r="V18" i="11" s="1"/>
  <c r="W17" i="11"/>
  <c r="W18" i="11" s="1"/>
  <c r="X17" i="11"/>
  <c r="X18" i="11" s="1"/>
  <c r="Y17" i="11"/>
  <c r="Y18" i="11" s="1"/>
  <c r="Z17" i="11"/>
  <c r="Z18" i="11" s="1"/>
  <c r="AA17" i="11"/>
  <c r="AA18" i="11" s="1"/>
  <c r="AB17" i="11"/>
  <c r="AB18" i="11" s="1"/>
  <c r="AC17" i="11"/>
  <c r="AC18" i="11" s="1"/>
  <c r="AD17" i="11"/>
  <c r="AD18" i="11" s="1"/>
  <c r="AE17" i="11"/>
  <c r="AE18" i="11" s="1"/>
  <c r="AF17" i="11"/>
  <c r="AF18" i="11" s="1"/>
  <c r="AG17" i="11"/>
  <c r="AG18" i="11" s="1"/>
  <c r="AH17" i="11"/>
  <c r="AH18" i="11" s="1"/>
  <c r="AI17" i="11"/>
  <c r="AI18" i="11" s="1"/>
  <c r="AJ17" i="11"/>
  <c r="AJ18" i="11" s="1"/>
  <c r="AK17" i="11"/>
  <c r="AK18" i="11" s="1"/>
  <c r="M17" i="11"/>
  <c r="M18" i="11" s="1"/>
  <c r="C29" i="4"/>
  <c r="L19" i="3"/>
  <c r="K19" i="3"/>
  <c r="J19" i="3"/>
  <c r="C31" i="4" l="1"/>
  <c r="G31" i="4" s="1"/>
  <c r="H39" i="4"/>
  <c r="I39" i="4" s="1"/>
  <c r="J39" i="4"/>
  <c r="J35" i="4"/>
  <c r="H31" i="4"/>
  <c r="J31" i="4"/>
  <c r="H35" i="4"/>
  <c r="I35" i="4" s="1"/>
  <c r="H12" i="4"/>
  <c r="E10" i="3"/>
  <c r="M20" i="11"/>
  <c r="Q20" i="11"/>
  <c r="P20" i="11"/>
  <c r="AI20" i="11"/>
  <c r="AE20" i="11"/>
  <c r="AA20" i="11"/>
  <c r="W20" i="11"/>
  <c r="S20" i="11"/>
  <c r="AH20" i="11"/>
  <c r="AD20" i="11"/>
  <c r="Z20" i="11"/>
  <c r="R20" i="11"/>
  <c r="AK20" i="11"/>
  <c r="AG20" i="11"/>
  <c r="AC20" i="11"/>
  <c r="Y20" i="11"/>
  <c r="U20" i="11"/>
  <c r="AJ20" i="11"/>
  <c r="AF20" i="11"/>
  <c r="AB20" i="11"/>
  <c r="X20" i="11"/>
  <c r="T20" i="11"/>
  <c r="O20" i="11"/>
  <c r="N20" i="11"/>
  <c r="V20" i="11"/>
  <c r="I31" i="4" l="1"/>
  <c r="K31" i="4" s="1"/>
  <c r="K39" i="4"/>
  <c r="K35" i="4"/>
  <c r="C14" i="6"/>
  <c r="K14" i="6" s="1"/>
  <c r="C13" i="6"/>
  <c r="K13" i="6" s="1"/>
  <c r="K11" i="6"/>
  <c r="C9" i="6"/>
  <c r="K9" i="6" s="1"/>
  <c r="C8" i="6"/>
  <c r="K8" i="6" s="1"/>
  <c r="C7" i="6"/>
  <c r="K7" i="6" s="1"/>
  <c r="I6" i="11" l="1"/>
  <c r="I5" i="11"/>
  <c r="D25" i="11" l="1"/>
  <c r="R18" i="12"/>
  <c r="F40" i="12"/>
  <c r="E40" i="12"/>
  <c r="R17" i="12"/>
  <c r="I17" i="11" s="1"/>
  <c r="J35" i="12"/>
  <c r="J12" i="12"/>
  <c r="R9" i="12"/>
  <c r="I9" i="11" s="1"/>
  <c r="R16" i="12" l="1"/>
  <c r="I16" i="11" s="1"/>
  <c r="D20" i="11"/>
  <c r="D26" i="11"/>
  <c r="D8" i="11"/>
  <c r="F18" i="16" l="1"/>
  <c r="D28" i="11"/>
  <c r="F17" i="10"/>
  <c r="F16" i="10"/>
  <c r="J34" i="12" s="1"/>
  <c r="F15" i="10"/>
  <c r="J30" i="12" s="1"/>
  <c r="F13" i="10"/>
  <c r="J37" i="12" s="1"/>
  <c r="F10" i="10"/>
  <c r="F8" i="10"/>
  <c r="J12" i="8" s="1"/>
  <c r="F7" i="10"/>
  <c r="J8" i="8" s="1"/>
  <c r="F6" i="10"/>
  <c r="J11" i="8" s="1"/>
  <c r="D24" i="10"/>
  <c r="F12" i="10" s="1"/>
  <c r="J11" i="12" s="1"/>
  <c r="D22" i="10"/>
  <c r="F11" i="10" s="1"/>
  <c r="G11" i="10" s="1"/>
  <c r="L23" i="1" s="1"/>
  <c r="J43" i="8" s="1"/>
  <c r="J50" i="8"/>
  <c r="J74" i="8"/>
  <c r="J73" i="8"/>
  <c r="J67" i="8"/>
  <c r="J49" i="8"/>
  <c r="J44" i="8"/>
  <c r="I15" i="9"/>
  <c r="G35" i="9"/>
  <c r="I21" i="9" s="1"/>
  <c r="G34" i="9"/>
  <c r="I16" i="9" s="1"/>
  <c r="J16" i="9" s="1"/>
  <c r="G33" i="9"/>
  <c r="I22" i="9" s="1"/>
  <c r="G32" i="9"/>
  <c r="I8" i="9" s="1"/>
  <c r="J8" i="9" s="1"/>
  <c r="G31" i="9"/>
  <c r="I24" i="9" s="1"/>
  <c r="G30" i="9"/>
  <c r="I14" i="9" s="1"/>
  <c r="K64" i="8"/>
  <c r="K71" i="8"/>
  <c r="K69" i="8"/>
  <c r="K68" i="8"/>
  <c r="K57" i="8"/>
  <c r="K48" i="8"/>
  <c r="K46" i="8"/>
  <c r="K45" i="8"/>
  <c r="K24" i="8"/>
  <c r="K27" i="8"/>
  <c r="F87" i="8"/>
  <c r="E87" i="8"/>
  <c r="K85" i="8"/>
  <c r="F60" i="8"/>
  <c r="E60" i="8"/>
  <c r="K58" i="8"/>
  <c r="F35" i="8"/>
  <c r="K33" i="8"/>
  <c r="J32" i="8"/>
  <c r="F17" i="8"/>
  <c r="E17" i="8"/>
  <c r="E35" i="8" s="1"/>
  <c r="K15" i="8"/>
  <c r="D24" i="6"/>
  <c r="R18" i="8" l="1"/>
  <c r="G87" i="8"/>
  <c r="K15" i="6"/>
  <c r="J26" i="8" s="1"/>
  <c r="G6" i="10"/>
  <c r="J23" i="1" s="1"/>
  <c r="F9" i="10"/>
  <c r="G9" i="10" s="1"/>
  <c r="K23" i="1" s="1"/>
  <c r="J22" i="8" s="1"/>
  <c r="G12" i="10"/>
  <c r="J21" i="9"/>
  <c r="J10" i="12" s="1"/>
  <c r="J14" i="9"/>
  <c r="I11" i="9"/>
  <c r="J11" i="9" s="1"/>
  <c r="K11" i="9" s="1"/>
  <c r="I6" i="9"/>
  <c r="J6" i="9" s="1"/>
  <c r="K6" i="9" s="1"/>
  <c r="I10" i="9"/>
  <c r="I12" i="9"/>
  <c r="J12" i="9" s="1"/>
  <c r="I17" i="9"/>
  <c r="J17" i="9" s="1"/>
  <c r="I23" i="9"/>
  <c r="J23" i="9" s="1"/>
  <c r="I19" i="9"/>
  <c r="I9" i="9"/>
  <c r="J9" i="9" s="1"/>
  <c r="K8" i="9" s="1"/>
  <c r="I20" i="9"/>
  <c r="I7" i="9"/>
  <c r="I13" i="9"/>
  <c r="I18" i="9"/>
  <c r="J17" i="8"/>
  <c r="K11" i="8"/>
  <c r="R14" i="8"/>
  <c r="L14" i="3" s="1"/>
  <c r="G17" i="8"/>
  <c r="G60" i="8"/>
  <c r="K63" i="8"/>
  <c r="K21" i="8"/>
  <c r="G35" i="8"/>
  <c r="I35" i="8" s="1"/>
  <c r="K41" i="8"/>
  <c r="Q14" i="8" s="1"/>
  <c r="K14" i="3" s="1"/>
  <c r="K40" i="8"/>
  <c r="K7" i="8"/>
  <c r="K21" i="9" l="1"/>
  <c r="N21" i="1" s="1"/>
  <c r="N23" i="1"/>
  <c r="M23" i="1"/>
  <c r="J82" i="8" s="1"/>
  <c r="J19" i="9"/>
  <c r="K16" i="9" s="1"/>
  <c r="R11" i="8"/>
  <c r="L11" i="3" s="1"/>
  <c r="Q11" i="8"/>
  <c r="K11" i="3" s="1"/>
  <c r="G76" i="5" l="1"/>
  <c r="H48" i="5" s="1"/>
  <c r="G75" i="5"/>
  <c r="H32" i="5" s="1"/>
  <c r="G74" i="5"/>
  <c r="H37" i="5" s="1"/>
  <c r="G73" i="5"/>
  <c r="Q48" i="5" s="1"/>
  <c r="G72" i="5"/>
  <c r="Q44" i="5" s="1"/>
  <c r="G71" i="5"/>
  <c r="H38" i="5" s="1"/>
  <c r="G70" i="5"/>
  <c r="H41" i="5" s="1"/>
  <c r="G69" i="5"/>
  <c r="Q34" i="5" s="1"/>
  <c r="G68" i="5"/>
  <c r="H34" i="5" s="1"/>
  <c r="G67" i="5"/>
  <c r="H43" i="5" s="1"/>
  <c r="G66" i="5"/>
  <c r="H28" i="5" s="1"/>
  <c r="G65" i="5"/>
  <c r="H21" i="5" s="1"/>
  <c r="J22" i="12" s="1"/>
  <c r="G64" i="5"/>
  <c r="H10" i="5" s="1"/>
  <c r="G63" i="5"/>
  <c r="H46" i="5" s="1"/>
  <c r="G62" i="5"/>
  <c r="H17" i="5" s="1"/>
  <c r="G61" i="5"/>
  <c r="Q28" i="5" s="1"/>
  <c r="G60" i="5"/>
  <c r="H35" i="5" s="1"/>
  <c r="G59" i="5"/>
  <c r="H33" i="5" s="1"/>
  <c r="G58" i="5"/>
  <c r="Q40" i="5" s="1"/>
  <c r="G57" i="5"/>
  <c r="H23" i="5" s="1"/>
  <c r="Q33" i="5" l="1"/>
  <c r="Q10" i="5"/>
  <c r="Q39" i="5"/>
  <c r="Q18" i="5"/>
  <c r="Q45" i="5"/>
  <c r="Q22" i="5"/>
  <c r="Q35" i="5"/>
  <c r="Q26" i="5"/>
  <c r="Q41" i="5"/>
  <c r="Q7" i="5"/>
  <c r="Q11" i="5"/>
  <c r="Q15" i="5"/>
  <c r="Q19" i="5"/>
  <c r="Q23" i="5"/>
  <c r="Q27" i="5"/>
  <c r="Q30" i="5"/>
  <c r="Q36" i="5"/>
  <c r="Q42" i="5"/>
  <c r="Q46" i="5"/>
  <c r="Q8" i="5"/>
  <c r="Q12" i="5"/>
  <c r="Q16" i="5"/>
  <c r="Q20" i="5"/>
  <c r="Q24" i="5"/>
  <c r="Q31" i="5"/>
  <c r="Q37" i="5"/>
  <c r="Q43" i="5"/>
  <c r="R43" i="5" s="1"/>
  <c r="J80" i="8" s="1"/>
  <c r="Q47" i="5"/>
  <c r="Q14" i="5"/>
  <c r="Q29" i="5"/>
  <c r="Q13" i="5"/>
  <c r="Q17" i="5"/>
  <c r="Q21" i="5"/>
  <c r="Q25" i="5"/>
  <c r="Q32" i="5"/>
  <c r="Q38" i="5"/>
  <c r="H7" i="5"/>
  <c r="H13" i="5"/>
  <c r="H18" i="5"/>
  <c r="H24" i="5"/>
  <c r="H29" i="5"/>
  <c r="H8" i="5"/>
  <c r="H14" i="5"/>
  <c r="H19" i="5"/>
  <c r="H25" i="5"/>
  <c r="H30" i="5"/>
  <c r="H42" i="5"/>
  <c r="J27" i="12" s="1"/>
  <c r="H47" i="5"/>
  <c r="H11" i="5"/>
  <c r="H15" i="5"/>
  <c r="H27" i="5"/>
  <c r="J24" i="12" s="1"/>
  <c r="H39" i="5"/>
  <c r="J26" i="12" s="1"/>
  <c r="H45" i="5"/>
  <c r="J18" i="12"/>
  <c r="J19" i="12"/>
  <c r="J25" i="12"/>
  <c r="J20" i="12" l="1"/>
  <c r="R25" i="5"/>
  <c r="J55" i="8" s="1"/>
  <c r="J28" i="12"/>
  <c r="R10" i="5"/>
  <c r="J30" i="8" s="1"/>
  <c r="J21" i="12"/>
  <c r="R40" i="5"/>
  <c r="J79" i="8" s="1"/>
  <c r="R22" i="5"/>
  <c r="J54" i="8" s="1"/>
  <c r="R28" i="5"/>
  <c r="R34" i="5"/>
  <c r="J77" i="8" s="1"/>
  <c r="R37" i="5"/>
  <c r="J78" i="8" s="1"/>
  <c r="R46" i="5"/>
  <c r="J81" i="8" s="1"/>
  <c r="R31" i="5"/>
  <c r="J76" i="8" s="1"/>
  <c r="R19" i="5"/>
  <c r="J53" i="8" s="1"/>
  <c r="R13" i="5"/>
  <c r="J31" i="8" s="1"/>
  <c r="R16" i="5"/>
  <c r="R7" i="5"/>
  <c r="I50" i="5" l="1"/>
  <c r="N19" i="1" s="1"/>
  <c r="J23" i="12"/>
  <c r="J40" i="12" s="1"/>
  <c r="K40" i="12" s="1"/>
  <c r="S7" i="5"/>
  <c r="K19" i="1" s="1"/>
  <c r="J29" i="8"/>
  <c r="J35" i="8" s="1"/>
  <c r="S16" i="5"/>
  <c r="L19" i="1" s="1"/>
  <c r="J52" i="8"/>
  <c r="J60" i="8" s="1"/>
  <c r="J75" i="8"/>
  <c r="J87" i="8" s="1"/>
  <c r="S28" i="5"/>
  <c r="M19" i="1" s="1"/>
  <c r="P19" i="4"/>
  <c r="S19" i="4" s="1"/>
  <c r="P20" i="4"/>
  <c r="S20" i="4" s="1"/>
  <c r="P21" i="4"/>
  <c r="S21" i="4" s="1"/>
  <c r="P22" i="4"/>
  <c r="S22" i="4" s="1"/>
  <c r="L21" i="4"/>
  <c r="L20" i="4"/>
  <c r="L19" i="4"/>
  <c r="C26" i="4"/>
  <c r="C40" i="4" s="1"/>
  <c r="O18" i="3" s="1"/>
  <c r="R7" i="4"/>
  <c r="R16" i="4"/>
  <c r="P8" i="4"/>
  <c r="S8" i="4" s="1"/>
  <c r="P9" i="4"/>
  <c r="S9" i="4" s="1"/>
  <c r="P10" i="4"/>
  <c r="S10" i="4" s="1"/>
  <c r="P11" i="4"/>
  <c r="S11" i="4" s="1"/>
  <c r="P12" i="4"/>
  <c r="S12" i="4" s="1"/>
  <c r="P13" i="4"/>
  <c r="S13" i="4" s="1"/>
  <c r="P15" i="4"/>
  <c r="S15" i="4" s="1"/>
  <c r="P17" i="4"/>
  <c r="S17" i="4" s="1"/>
  <c r="P18" i="4"/>
  <c r="S18" i="4" s="1"/>
  <c r="P7" i="4"/>
  <c r="P16" i="4"/>
  <c r="P14" i="4"/>
  <c r="S14" i="4" s="1"/>
  <c r="J21" i="4"/>
  <c r="F26" i="4" l="1"/>
  <c r="S16" i="4"/>
  <c r="S7" i="4"/>
  <c r="H82" i="8" s="1"/>
  <c r="R13" i="8" l="1"/>
  <c r="L13" i="3" s="1"/>
  <c r="K82" i="8"/>
  <c r="R15" i="12"/>
  <c r="I15" i="11" s="1"/>
  <c r="R12" i="12"/>
  <c r="I12" i="11" s="1"/>
  <c r="R8" i="12"/>
  <c r="I8" i="11" s="1"/>
  <c r="H84" i="8"/>
  <c r="K84" i="8" s="1"/>
  <c r="H76" i="8"/>
  <c r="K76" i="8" s="1"/>
  <c r="H80" i="8"/>
  <c r="K80" i="8" s="1"/>
  <c r="H74" i="8"/>
  <c r="K74" i="8" s="1"/>
  <c r="H70" i="8"/>
  <c r="K70" i="8" s="1"/>
  <c r="H66" i="8"/>
  <c r="K66" i="8" s="1"/>
  <c r="R10" i="8" s="1"/>
  <c r="L10" i="3" s="1"/>
  <c r="H54" i="8"/>
  <c r="K54" i="8" s="1"/>
  <c r="H10" i="8"/>
  <c r="H23" i="8"/>
  <c r="K23" i="8" s="1"/>
  <c r="P16" i="8" s="1"/>
  <c r="J16" i="3" s="1"/>
  <c r="H32" i="8"/>
  <c r="K32" i="8" s="1"/>
  <c r="H51" i="8"/>
  <c r="K51" i="8" s="1"/>
  <c r="H77" i="8"/>
  <c r="K77" i="8" s="1"/>
  <c r="H81" i="8"/>
  <c r="K81" i="8" s="1"/>
  <c r="H73" i="8"/>
  <c r="K73" i="8" s="1"/>
  <c r="H47" i="8"/>
  <c r="K47" i="8" s="1"/>
  <c r="H42" i="8"/>
  <c r="H55" i="8"/>
  <c r="K55" i="8" s="1"/>
  <c r="H12" i="8"/>
  <c r="K12" i="8" s="1"/>
  <c r="H25" i="8"/>
  <c r="K25" i="8" s="1"/>
  <c r="H30" i="8"/>
  <c r="K30" i="8" s="1"/>
  <c r="H83" i="8"/>
  <c r="K83" i="8" s="1"/>
  <c r="H78" i="8"/>
  <c r="K78" i="8" s="1"/>
  <c r="H75" i="8"/>
  <c r="H49" i="8"/>
  <c r="K49" i="8" s="1"/>
  <c r="H67" i="8"/>
  <c r="H65" i="8"/>
  <c r="H50" i="8"/>
  <c r="K50" i="8" s="1"/>
  <c r="H20" i="8"/>
  <c r="H26" i="8"/>
  <c r="K26" i="8" s="1"/>
  <c r="P9" i="8" s="1"/>
  <c r="J9" i="3" s="1"/>
  <c r="H31" i="8"/>
  <c r="K31" i="8" s="1"/>
  <c r="H56" i="8"/>
  <c r="K56" i="8" s="1"/>
  <c r="Q17" i="8" s="1"/>
  <c r="K17" i="3" s="1"/>
  <c r="H79" i="8"/>
  <c r="K79" i="8" s="1"/>
  <c r="H52" i="8"/>
  <c r="H44" i="8"/>
  <c r="H53" i="8"/>
  <c r="K53" i="8" s="1"/>
  <c r="H43" i="8"/>
  <c r="H22" i="8"/>
  <c r="H28" i="8"/>
  <c r="K28" i="8" s="1"/>
  <c r="H29" i="8"/>
  <c r="G26" i="4"/>
  <c r="R16" i="8" l="1"/>
  <c r="L16" i="3" s="1"/>
  <c r="K29" i="8"/>
  <c r="P15" i="8"/>
  <c r="J15" i="3" s="1"/>
  <c r="K67" i="8"/>
  <c r="R12" i="8"/>
  <c r="L12" i="3" s="1"/>
  <c r="P12" i="8"/>
  <c r="J12" i="3" s="1"/>
  <c r="K44" i="8"/>
  <c r="Q12" i="8"/>
  <c r="K22" i="8"/>
  <c r="P13" i="8"/>
  <c r="K52" i="8"/>
  <c r="Q15" i="8"/>
  <c r="K15" i="3" s="1"/>
  <c r="K43" i="8"/>
  <c r="Q13" i="8"/>
  <c r="K75" i="8"/>
  <c r="R15" i="8"/>
  <c r="L15" i="3" s="1"/>
  <c r="R13" i="12"/>
  <c r="R10" i="12"/>
  <c r="I10" i="11" s="1"/>
  <c r="R11" i="12"/>
  <c r="I11" i="11" s="1"/>
  <c r="H7" i="4"/>
  <c r="I7" i="4" s="1"/>
  <c r="H22" i="4"/>
  <c r="I22" i="4" s="1"/>
  <c r="H23" i="4"/>
  <c r="I23" i="4" s="1"/>
  <c r="H24" i="4"/>
  <c r="I24" i="4" s="1"/>
  <c r="H25" i="4"/>
  <c r="I25" i="4" s="1"/>
  <c r="Q16" i="8"/>
  <c r="K16" i="3" s="1"/>
  <c r="R14" i="12"/>
  <c r="I14" i="11" s="1"/>
  <c r="K65" i="8"/>
  <c r="H87" i="8"/>
  <c r="H35" i="8"/>
  <c r="K20" i="8"/>
  <c r="K42" i="8"/>
  <c r="H60" i="8"/>
  <c r="K10" i="8"/>
  <c r="K17" i="8" s="1"/>
  <c r="H17" i="8"/>
  <c r="I12" i="4"/>
  <c r="H16" i="4"/>
  <c r="I16" i="4" s="1"/>
  <c r="H20" i="4"/>
  <c r="I20" i="4" s="1"/>
  <c r="H13" i="4"/>
  <c r="I13" i="4" s="1"/>
  <c r="H17" i="4"/>
  <c r="I17" i="4" s="1"/>
  <c r="H21" i="4"/>
  <c r="I21" i="4" s="1"/>
  <c r="H10" i="4"/>
  <c r="I10" i="4" s="1"/>
  <c r="H14" i="4"/>
  <c r="I14" i="4" s="1"/>
  <c r="H18" i="4"/>
  <c r="I18" i="4" s="1"/>
  <c r="H8" i="4"/>
  <c r="I8" i="4" s="1"/>
  <c r="H11" i="4"/>
  <c r="I11" i="4" s="1"/>
  <c r="H15" i="4"/>
  <c r="I15" i="4" s="1"/>
  <c r="H19" i="4"/>
  <c r="I19" i="4" s="1"/>
  <c r="H9" i="4"/>
  <c r="I9" i="4" s="1"/>
  <c r="J9" i="4"/>
  <c r="J8" i="4"/>
  <c r="J16" i="4"/>
  <c r="J19" i="4"/>
  <c r="J11" i="4"/>
  <c r="J13" i="4"/>
  <c r="J20" i="4"/>
  <c r="J15" i="4"/>
  <c r="J12" i="4"/>
  <c r="J18" i="4"/>
  <c r="J10" i="4"/>
  <c r="J17" i="4"/>
  <c r="J14" i="4"/>
  <c r="J7" i="4"/>
  <c r="K87" i="8" l="1"/>
  <c r="K13" i="3"/>
  <c r="J13" i="3"/>
  <c r="P8" i="8"/>
  <c r="J8" i="3" s="1"/>
  <c r="K35" i="8"/>
  <c r="K37" i="8" s="1"/>
  <c r="R17" i="8"/>
  <c r="L17" i="3" s="1"/>
  <c r="Q10" i="8"/>
  <c r="K10" i="3" s="1"/>
  <c r="K60" i="8"/>
  <c r="E12" i="3"/>
  <c r="O14" i="3" s="1"/>
  <c r="P7" i="8"/>
  <c r="J7" i="3" s="1"/>
  <c r="R7" i="12"/>
  <c r="K19" i="4"/>
  <c r="K15" i="4"/>
  <c r="K9" i="4"/>
  <c r="K8" i="4"/>
  <c r="K7" i="4"/>
  <c r="K18" i="4"/>
  <c r="K21" i="4"/>
  <c r="K20" i="4"/>
  <c r="K14" i="4"/>
  <c r="K17" i="4"/>
  <c r="K16" i="4"/>
  <c r="K11" i="4"/>
  <c r="K10" i="4"/>
  <c r="K13" i="4"/>
  <c r="K12" i="4"/>
  <c r="E14" i="3" l="1"/>
  <c r="J21" i="3"/>
  <c r="E16" i="3" s="1"/>
  <c r="K21" i="3"/>
  <c r="F16" i="3" s="1"/>
  <c r="O16" i="3" s="1"/>
  <c r="F14" i="3"/>
  <c r="L21" i="3"/>
  <c r="G16" i="3" s="1"/>
  <c r="O17" i="3" s="1"/>
  <c r="G14" i="3"/>
  <c r="I7" i="11"/>
  <c r="I19" i="11" s="1"/>
  <c r="D12" i="11" s="1"/>
  <c r="R21" i="12"/>
  <c r="K26" i="4"/>
  <c r="K40" i="4" s="1"/>
  <c r="O15" i="3" l="1"/>
  <c r="G32" i="3"/>
  <c r="F14" i="16" s="1"/>
  <c r="F16" i="16"/>
  <c r="E22" i="3"/>
  <c r="D13" i="11"/>
  <c r="D18" i="11" s="1"/>
  <c r="F20" i="3" l="1"/>
  <c r="E20" i="3"/>
  <c r="E24" i="3" s="1"/>
  <c r="E26" i="3" s="1"/>
  <c r="G20" i="3"/>
  <c r="D24" i="11"/>
  <c r="F22" i="3"/>
  <c r="G22" i="3" s="1"/>
  <c r="D27" i="11"/>
  <c r="E27" i="3" l="1"/>
  <c r="F24" i="3"/>
  <c r="G24" i="3"/>
  <c r="M21" i="11" l="1"/>
  <c r="M22" i="11" s="1"/>
  <c r="M23" i="11" s="1"/>
  <c r="M24" i="11" s="1"/>
  <c r="E29" i="3"/>
  <c r="E28" i="3"/>
  <c r="F26" i="3" l="1"/>
  <c r="F27" i="3" s="1"/>
  <c r="N21" i="11" l="1"/>
  <c r="N22" i="11" s="1"/>
  <c r="N23" i="11" s="1"/>
  <c r="F28" i="3"/>
  <c r="F29" i="3"/>
  <c r="G26" i="3" s="1"/>
  <c r="G27" i="3" s="1"/>
  <c r="O21" i="11" s="1"/>
  <c r="O22" i="11" s="1"/>
  <c r="N24" i="11" l="1"/>
  <c r="O23" i="11"/>
  <c r="O24" i="11" s="1"/>
  <c r="G28" i="3"/>
  <c r="G29" i="3"/>
  <c r="G31" i="3" s="1"/>
  <c r="D23" i="11" s="1"/>
  <c r="D29" i="11" s="1"/>
  <c r="D31" i="11" l="1"/>
  <c r="AR21" i="11" s="1"/>
  <c r="AR22" i="11" s="1"/>
  <c r="O7" i="11"/>
  <c r="P7" i="11"/>
  <c r="Q7" i="11"/>
  <c r="M7" i="11"/>
  <c r="N7" i="11"/>
  <c r="O9" i="11"/>
  <c r="M9" i="11"/>
  <c r="O8" i="11"/>
  <c r="P6" i="11"/>
  <c r="N5" i="11"/>
  <c r="N9" i="11"/>
  <c r="M8" i="11"/>
  <c r="P8" i="11"/>
  <c r="Q6" i="11"/>
  <c r="M5" i="11"/>
  <c r="P9" i="11"/>
  <c r="Q8" i="11"/>
  <c r="N6" i="11"/>
  <c r="O6" i="11"/>
  <c r="Q5" i="11"/>
  <c r="Q9" i="11"/>
  <c r="N8" i="11"/>
  <c r="M6" i="11"/>
  <c r="O5" i="11"/>
  <c r="P5" i="11"/>
  <c r="AU21" i="11" l="1"/>
  <c r="AU22" i="11" s="1"/>
  <c r="R21" i="11"/>
  <c r="R22" i="11" s="1"/>
  <c r="AJ21" i="11"/>
  <c r="AJ22" i="11" s="1"/>
  <c r="D33" i="11"/>
  <c r="F8" i="16" s="1"/>
  <c r="T21" i="11"/>
  <c r="T22" i="11" s="1"/>
  <c r="P21" i="11"/>
  <c r="P22" i="11" s="1"/>
  <c r="P23" i="11" s="1"/>
  <c r="P24" i="11" s="1"/>
  <c r="W21" i="11"/>
  <c r="W22" i="11" s="1"/>
  <c r="AL21" i="11"/>
  <c r="AL22" i="11" s="1"/>
  <c r="Y21" i="11"/>
  <c r="Y22" i="11" s="1"/>
  <c r="Z21" i="11"/>
  <c r="Z22" i="11" s="1"/>
  <c r="AT21" i="11"/>
  <c r="AT22" i="11" s="1"/>
  <c r="AG21" i="11"/>
  <c r="AG22" i="11" s="1"/>
  <c r="AE21" i="11"/>
  <c r="AE22" i="11" s="1"/>
  <c r="AM21" i="11"/>
  <c r="AM22" i="11" s="1"/>
  <c r="BI21" i="11"/>
  <c r="BI22" i="11" s="1"/>
  <c r="AV21" i="11"/>
  <c r="AV22" i="11" s="1"/>
  <c r="BJ21" i="11"/>
  <c r="BJ22" i="11" s="1"/>
  <c r="AN21" i="11"/>
  <c r="AN22" i="11" s="1"/>
  <c r="BA21" i="11"/>
  <c r="BA22" i="11" s="1"/>
  <c r="AK21" i="11"/>
  <c r="AK22" i="11" s="1"/>
  <c r="AB21" i="11"/>
  <c r="AB22" i="11" s="1"/>
  <c r="AH21" i="11"/>
  <c r="AH22" i="11" s="1"/>
  <c r="BC21" i="11"/>
  <c r="BC22" i="11" s="1"/>
  <c r="BB21" i="11"/>
  <c r="BB22" i="11" s="1"/>
  <c r="AS21" i="11"/>
  <c r="AS22" i="11" s="1"/>
  <c r="F20" i="16"/>
  <c r="BD21" i="11"/>
  <c r="BD22" i="11" s="1"/>
  <c r="D36" i="11"/>
  <c r="F22" i="16" s="1"/>
  <c r="AC21" i="11"/>
  <c r="AC22" i="11" s="1"/>
  <c r="AF21" i="11"/>
  <c r="AF22" i="11" s="1"/>
  <c r="AI21" i="11"/>
  <c r="AI22" i="11" s="1"/>
  <c r="S21" i="11"/>
  <c r="S22" i="11" s="1"/>
  <c r="V21" i="11"/>
  <c r="V22" i="11" s="1"/>
  <c r="BG21" i="11"/>
  <c r="BG22" i="11" s="1"/>
  <c r="AQ21" i="11"/>
  <c r="AQ22" i="11" s="1"/>
  <c r="BF21" i="11"/>
  <c r="BF22" i="11" s="1"/>
  <c r="AP21" i="11"/>
  <c r="AP22" i="11" s="1"/>
  <c r="AW21" i="11"/>
  <c r="AW22" i="11" s="1"/>
  <c r="AZ21" i="11"/>
  <c r="AZ22" i="11" s="1"/>
  <c r="D38" i="11"/>
  <c r="F24" i="16" s="1"/>
  <c r="U21" i="11"/>
  <c r="U22" i="11" s="1"/>
  <c r="X21" i="11"/>
  <c r="X22" i="11" s="1"/>
  <c r="AA21" i="11"/>
  <c r="AA22" i="11" s="1"/>
  <c r="AD21" i="11"/>
  <c r="AD22" i="11" s="1"/>
  <c r="Q21" i="11"/>
  <c r="Q22" i="11" s="1"/>
  <c r="AY21" i="11"/>
  <c r="AY22" i="11" s="1"/>
  <c r="AO21" i="11"/>
  <c r="AO22" i="11" s="1"/>
  <c r="AX21" i="11"/>
  <c r="AX22" i="11" s="1"/>
  <c r="BE21" i="11"/>
  <c r="BE22" i="11" s="1"/>
  <c r="BH21" i="11"/>
  <c r="BH22" i="11" s="1"/>
  <c r="F10" i="16" l="1"/>
  <c r="Q23" i="11"/>
  <c r="R23" i="11" s="1"/>
  <c r="S23" i="11" s="1"/>
  <c r="G10" i="16"/>
  <c r="R24" i="11" l="1"/>
  <c r="Q24" i="11"/>
  <c r="T23" i="11"/>
  <c r="S24" i="11"/>
  <c r="U23" i="11" l="1"/>
  <c r="T24" i="11"/>
  <c r="V23" i="11" l="1"/>
  <c r="U24" i="11"/>
  <c r="W23" i="11" l="1"/>
  <c r="V24" i="11"/>
  <c r="W24" i="11" l="1"/>
  <c r="X23" i="11"/>
  <c r="X24" i="11" l="1"/>
  <c r="Y23" i="11"/>
  <c r="Z23" i="11" l="1"/>
  <c r="Y24" i="11"/>
  <c r="Z24" i="11" l="1"/>
  <c r="AA23" i="11"/>
  <c r="AB23" i="11" l="1"/>
  <c r="AA24" i="11"/>
  <c r="AC23" i="11" l="1"/>
  <c r="AB24" i="11"/>
  <c r="AC24" i="11" l="1"/>
  <c r="AD23" i="11"/>
  <c r="AE23" i="11" l="1"/>
  <c r="AD24" i="11"/>
  <c r="AF23" i="11" l="1"/>
  <c r="AE24" i="11"/>
  <c r="AF24" i="11" l="1"/>
  <c r="AG23" i="11"/>
  <c r="AH23" i="11" l="1"/>
  <c r="AG24" i="11"/>
  <c r="AI23" i="11" l="1"/>
  <c r="AH24" i="11"/>
  <c r="AJ23" i="11" l="1"/>
  <c r="AI24" i="11"/>
  <c r="AK23" i="11" l="1"/>
  <c r="AN11" i="11" s="1"/>
  <c r="AJ24" i="11"/>
  <c r="AL23" i="11" l="1"/>
  <c r="AM23" i="11" s="1"/>
  <c r="AK24" i="11"/>
  <c r="AL24" i="11" l="1"/>
  <c r="AN23" i="11"/>
  <c r="AM24" i="11"/>
  <c r="AO23" i="11" l="1"/>
  <c r="AN24" i="11"/>
  <c r="AP23" i="11" l="1"/>
  <c r="AO24" i="11"/>
  <c r="AQ23" i="11" l="1"/>
  <c r="AP24" i="11"/>
  <c r="AR23" i="11" l="1"/>
  <c r="AQ24" i="11"/>
  <c r="AR24" i="11" l="1"/>
  <c r="AS23" i="11"/>
  <c r="AT23" i="11" l="1"/>
  <c r="AS24" i="11"/>
  <c r="AT24" i="11" l="1"/>
  <c r="AU23" i="11"/>
  <c r="AV23" i="11" l="1"/>
  <c r="AU24" i="11"/>
  <c r="AW23" i="11" l="1"/>
  <c r="AV24" i="11"/>
  <c r="AW24" i="11" l="1"/>
  <c r="AX23" i="11"/>
  <c r="AX24" i="11" l="1"/>
  <c r="AY23" i="11"/>
  <c r="AZ23" i="11" l="1"/>
  <c r="AY24" i="11"/>
  <c r="BA23" i="11" l="1"/>
  <c r="AZ24" i="11"/>
  <c r="BA24" i="11" l="1"/>
  <c r="BB23" i="11"/>
  <c r="BC23" i="11" l="1"/>
  <c r="BB24" i="11"/>
  <c r="BD23" i="11" l="1"/>
  <c r="BC24" i="11"/>
  <c r="BE23" i="11" l="1"/>
  <c r="BD24" i="11"/>
  <c r="BE24" i="11" l="1"/>
  <c r="BF23" i="11"/>
  <c r="BF24" i="11" l="1"/>
  <c r="BG23" i="11"/>
  <c r="BH23" i="11" l="1"/>
  <c r="BG24" i="11"/>
  <c r="BH24" i="11" l="1"/>
  <c r="BI23" i="11"/>
  <c r="BI24" i="11" l="1"/>
  <c r="BJ23" i="11"/>
  <c r="N28" i="11" s="1"/>
  <c r="BJ24" i="11" l="1"/>
  <c r="F12" i="1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Trent Davis</author>
  </authors>
  <commentList>
    <comment ref="G7" authorId="0" shapeId="0" xr:uid="{CD237333-538D-8F49-9BA9-E0A03984D704}">
      <text>
        <r>
          <rPr>
            <b/>
            <sz val="10"/>
            <color rgb="FF000000"/>
            <rFont val="Tahoma"/>
            <family val="2"/>
          </rPr>
          <t>This number should be lower than the one above. The cell above is meant for TOTAL land and this is for PLANTED ACRES.</t>
        </r>
      </text>
    </comment>
    <comment ref="G10" authorId="0" shapeId="0" xr:uid="{DB0BCCBC-CCD5-C849-BE10-8C492DE2088D}">
      <text>
        <r>
          <rPr>
            <b/>
            <sz val="10"/>
            <color rgb="FF000000"/>
            <rFont val="Tahoma"/>
            <family val="2"/>
          </rPr>
          <t xml:space="preserve">This will automatically update if Vine Spacing and/or Row Spacing are changed. You can also input your own number manually
</t>
        </r>
        <r>
          <rPr>
            <sz val="10"/>
            <color rgb="FF000000"/>
            <rFont val="Tahoma"/>
            <family val="2"/>
          </rPr>
          <t xml:space="preserve"> </t>
        </r>
      </text>
    </comment>
    <comment ref="G30" authorId="0" shapeId="0" xr:uid="{401C559D-75F4-364A-B5F2-4DB9FF8D41CD}">
      <text>
        <r>
          <rPr>
            <b/>
            <sz val="10"/>
            <color rgb="FF000000"/>
            <rFont val="Tahoma"/>
            <family val="2"/>
          </rPr>
          <t>This percentage will automatically changeif the harvesting practice is changed. You can also change it manually if you have a mix of machinery/hand harvesting</t>
        </r>
        <r>
          <rPr>
            <sz val="10"/>
            <color rgb="FF000000"/>
            <rFont val="Tahoma"/>
            <family val="2"/>
          </rPr>
          <t xml:space="preserve">
</t>
        </r>
      </text>
    </comment>
    <comment ref="G51" authorId="0" shapeId="0" xr:uid="{39403056-FF92-F149-8ACA-CC4BD4D16760}">
      <text>
        <r>
          <rPr>
            <b/>
            <sz val="10"/>
            <color rgb="FF000000"/>
            <rFont val="Tahoma"/>
            <family val="2"/>
          </rPr>
          <t>This number is automatically generated by updating the interest rate and inflation rate.</t>
        </r>
        <r>
          <rPr>
            <sz val="10"/>
            <color rgb="FF000000"/>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Trent Davis</author>
  </authors>
  <commentList>
    <comment ref="O4" authorId="0" shapeId="0" xr:uid="{49935F62-1138-B141-B42B-CDFC13D493B0}">
      <text>
        <r>
          <rPr>
            <b/>
            <sz val="10"/>
            <color rgb="FF000000"/>
            <rFont val="Tahoma"/>
            <family val="2"/>
          </rPr>
          <t xml:space="preserve">The estimated yield and sales price that are highlighted in ORANGE change based on your answers under the "General Assumptions" tab. The rest of the yields and sales prices will change depending on the base assumptions automatically.
</t>
        </r>
      </text>
    </comment>
    <comment ref="K16" authorId="0" shapeId="0" xr:uid="{7AF52CBD-CB62-854D-B344-0B6F2ACEF720}">
      <text>
        <r>
          <rPr>
            <b/>
            <sz val="10"/>
            <color rgb="FF000000"/>
            <rFont val="Tahoma"/>
            <family val="2"/>
          </rPr>
          <t>Crop loss factor allows you to model crop losses for individual years, and models their impact on future income/cumulative income.</t>
        </r>
        <r>
          <rPr>
            <sz val="10"/>
            <color rgb="FF000000"/>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Trent Davis</author>
  </authors>
  <commentList>
    <comment ref="K22" authorId="0" shapeId="0" xr:uid="{50C52908-E5B7-E042-AFC5-2BBA9F14BB2D}">
      <text>
        <r>
          <rPr>
            <b/>
            <sz val="12"/>
            <color rgb="FF000000"/>
            <rFont val="Tahoma"/>
            <family val="2"/>
          </rPr>
          <t>If you add other equipment please delete these equations and retype them exactly as they are shown here to update the cell(s).</t>
        </r>
        <r>
          <rPr>
            <sz val="12"/>
            <color rgb="FF000000"/>
            <rFont val="Tahoma"/>
            <family val="2"/>
          </rPr>
          <t xml:space="preserve">
</t>
        </r>
      </text>
    </comment>
  </commentList>
</comments>
</file>

<file path=xl/sharedStrings.xml><?xml version="1.0" encoding="utf-8"?>
<sst xmlns="http://schemas.openxmlformats.org/spreadsheetml/2006/main" count="1301" uniqueCount="574">
  <si>
    <t>Vineyard Layout</t>
  </si>
  <si>
    <t>Ranch acres (including 4 acres of supporting land)</t>
  </si>
  <si>
    <t xml:space="preserve">Planted acres </t>
  </si>
  <si>
    <t>Row spacing</t>
  </si>
  <si>
    <t>Vine spacing</t>
  </si>
  <si>
    <t>Vines per acre</t>
  </si>
  <si>
    <t>Rows per acre</t>
  </si>
  <si>
    <t>acres</t>
  </si>
  <si>
    <t>Expense Assumptions</t>
  </si>
  <si>
    <t>Skilled Labor ($15.38/hr + 30% benefits)</t>
  </si>
  <si>
    <t>Unskilled labor ($8.35/hr + 24% benefits)</t>
  </si>
  <si>
    <t>Gasoline</t>
  </si>
  <si>
    <t>Diesel</t>
  </si>
  <si>
    <t>hour</t>
  </si>
  <si>
    <t>gallon</t>
  </si>
  <si>
    <t>ft</t>
  </si>
  <si>
    <t>vines</t>
  </si>
  <si>
    <t>rows</t>
  </si>
  <si>
    <t>Vine and Planting Costs</t>
  </si>
  <si>
    <t>GPS Planting</t>
  </si>
  <si>
    <t>Vines</t>
  </si>
  <si>
    <t>Vines replanting</t>
  </si>
  <si>
    <t>vine</t>
  </si>
  <si>
    <t>per year</t>
  </si>
  <si>
    <t>Harvesting Expenses</t>
  </si>
  <si>
    <t>Trucking expenses</t>
  </si>
  <si>
    <t>Hand harvesting and hauling</t>
  </si>
  <si>
    <t>ton</t>
  </si>
  <si>
    <t>Other Layout Expenses</t>
  </si>
  <si>
    <t>Shop size</t>
  </si>
  <si>
    <t>Shop contrsuction cost (insulated walls, cement floors, water, &amp; electric)</t>
  </si>
  <si>
    <t xml:space="preserve">Land price (assumed $0.00 per acre) </t>
  </si>
  <si>
    <t>acre</t>
  </si>
  <si>
    <t>Overhead Assumptions</t>
  </si>
  <si>
    <t>Insurance</t>
  </si>
  <si>
    <t>School and property taxes (per $1,000 of assessed value)</t>
  </si>
  <si>
    <t>Office supplies, phone, etc.</t>
  </si>
  <si>
    <t>Management (Percentage of gross receips from mature vineyard)</t>
  </si>
  <si>
    <t>Cost of capital</t>
  </si>
  <si>
    <t>Nominal interest rate</t>
  </si>
  <si>
    <t>Real interset rate</t>
  </si>
  <si>
    <t>Inflation rate</t>
  </si>
  <si>
    <t>Year 1</t>
  </si>
  <si>
    <t>Year 2</t>
  </si>
  <si>
    <t>Year 3</t>
  </si>
  <si>
    <t>Year 4+</t>
  </si>
  <si>
    <t>receipts</t>
  </si>
  <si>
    <t xml:space="preserve"> Machinery and Equipment   </t>
  </si>
  <si>
    <t>Purchase Price</t>
  </si>
  <si>
    <t xml:space="preserve">  Years of Life</t>
  </si>
  <si>
    <t>Salvage Value</t>
  </si>
  <si>
    <t>Capital to be Recovered</t>
  </si>
  <si>
    <t>Cost Recovery Factor</t>
  </si>
  <si>
    <t>Annual Recovery</t>
  </si>
  <si>
    <t>Interest on Salvage Value</t>
  </si>
  <si>
    <t>Total Capital Recovery &amp; Interest</t>
  </si>
  <si>
    <t>Air-blast sprayer- 400 gallon</t>
  </si>
  <si>
    <t>Herbicide sprayer- 50 gallon</t>
  </si>
  <si>
    <t>Fertilizer Spreader</t>
  </si>
  <si>
    <t>Small disc</t>
  </si>
  <si>
    <t>Grape hoe</t>
  </si>
  <si>
    <t>Shaver post driver hd8 3pt</t>
  </si>
  <si>
    <t>Vineyard Trailer</t>
  </si>
  <si>
    <t>Pickup truck (used)</t>
  </si>
  <si>
    <t>Auger</t>
  </si>
  <si>
    <t>ATV</t>
  </si>
  <si>
    <t>Shop Equipment</t>
  </si>
  <si>
    <t>Macrobin (X15)</t>
  </si>
  <si>
    <t>Total Machine &amp; Equipment costs</t>
  </si>
  <si>
    <t>Rotary Mower</t>
  </si>
  <si>
    <t>Cost &amp; Depreciation of Machinery, Equipment, &amp; Buildings</t>
  </si>
  <si>
    <t>Hourly Machinery Variable Costs</t>
  </si>
  <si>
    <t>Item</t>
  </si>
  <si>
    <t xml:space="preserve">Hours of life </t>
  </si>
  <si>
    <t xml:space="preserve">Total Repairs </t>
  </si>
  <si>
    <t xml:space="preserve"> Repairs</t>
  </si>
  <si>
    <t xml:space="preserve"> Fuel</t>
  </si>
  <si>
    <t>Lube (15% of fuel)</t>
  </si>
  <si>
    <t>Total Hourly Variable Costs</t>
  </si>
  <si>
    <t>Mower (6ft)</t>
  </si>
  <si>
    <t>Small disc (used)</t>
  </si>
  <si>
    <t>Post driver</t>
  </si>
  <si>
    <t>Trailer</t>
  </si>
  <si>
    <t>Tractor Fuel Factors</t>
  </si>
  <si>
    <t>Factor</t>
  </si>
  <si>
    <t>Chemical</t>
  </si>
  <si>
    <t>Cost</t>
  </si>
  <si>
    <t>Amount</t>
  </si>
  <si>
    <t>Unit</t>
  </si>
  <si>
    <t>Cost per 1</t>
  </si>
  <si>
    <t>Assail</t>
  </si>
  <si>
    <t>lb</t>
  </si>
  <si>
    <t>oz</t>
  </si>
  <si>
    <t>Cueva</t>
  </si>
  <si>
    <t>gal</t>
  </si>
  <si>
    <t>Elevate</t>
  </si>
  <si>
    <t>Microthiol</t>
  </si>
  <si>
    <t>Pencozeb</t>
  </si>
  <si>
    <t>Pristine</t>
  </si>
  <si>
    <t>Rampart</t>
  </si>
  <si>
    <t>liquid oz</t>
  </si>
  <si>
    <t>Revus</t>
  </si>
  <si>
    <t>Vanguard</t>
  </si>
  <si>
    <t>Vivando</t>
  </si>
  <si>
    <t>Zampro</t>
  </si>
  <si>
    <t>Sevin</t>
  </si>
  <si>
    <t>Rovral</t>
  </si>
  <si>
    <t>Sulfur</t>
  </si>
  <si>
    <t>Mancozeb 75DF</t>
  </si>
  <si>
    <t>Captan 80WP</t>
  </si>
  <si>
    <t>Surfactant</t>
  </si>
  <si>
    <t>Quintec</t>
  </si>
  <si>
    <t>Ranman</t>
  </si>
  <si>
    <t>Mustang Max</t>
  </si>
  <si>
    <t>Chemical Cost Key</t>
  </si>
  <si>
    <t>Year</t>
  </si>
  <si>
    <t>Target organisms</t>
  </si>
  <si>
    <t xml:space="preserve">Mancozeb 75DF </t>
  </si>
  <si>
    <t>Downy mildew, botrytis, anthracnose</t>
  </si>
  <si>
    <t>lbs.</t>
  </si>
  <si>
    <t>Powdery mildew</t>
  </si>
  <si>
    <t>oz.</t>
  </si>
  <si>
    <t>Revus Top</t>
  </si>
  <si>
    <t>Powdery mildew, downy mildew</t>
  </si>
  <si>
    <t>Botrytis, anthracnose</t>
  </si>
  <si>
    <t>Spray</t>
  </si>
  <si>
    <t>Measure</t>
  </si>
  <si>
    <t>Unit/Acre</t>
  </si>
  <si>
    <t>Spray Cost</t>
  </si>
  <si>
    <t>Downy mildew, black rot</t>
  </si>
  <si>
    <t>Powdery mildew, downy mildew, ripe rot, botrytis</t>
  </si>
  <si>
    <t>Botrytis, downy mildew, powdery mildew</t>
  </si>
  <si>
    <t>Japanese Beetles</t>
  </si>
  <si>
    <t>Downy mildew, powdery mildew</t>
  </si>
  <si>
    <t>Botrytis</t>
  </si>
  <si>
    <t>Grape berry moth</t>
  </si>
  <si>
    <t>qt</t>
  </si>
  <si>
    <t>Captan 40</t>
  </si>
  <si>
    <t>pt</t>
  </si>
  <si>
    <t>Fruit flies</t>
  </si>
  <si>
    <t>Downy mildew</t>
  </si>
  <si>
    <t>Total Cost</t>
  </si>
  <si>
    <t>Total Yearly Cost</t>
  </si>
  <si>
    <t>Example Spray Program for Years 1 - 3 of Vineyard Development - Pre Full Harvest Potential</t>
  </si>
  <si>
    <t>Example Spray Program for a Mature Vineyard - Year 4+</t>
  </si>
  <si>
    <t>VSP Trellis Construction Materials per Acre</t>
  </si>
  <si>
    <t>Price</t>
  </si>
  <si>
    <t>Total per acre</t>
  </si>
  <si>
    <t>Wood end posts (8 ft X 5" diameter)</t>
  </si>
  <si>
    <t>posts</t>
  </si>
  <si>
    <t>post</t>
  </si>
  <si>
    <t>Anchor Kit</t>
  </si>
  <si>
    <t>Line Post (8 ft, 5" diameter, every 4th plant)</t>
  </si>
  <si>
    <t>12.5 gauge HT foilage &amp; cordon wire ($110 roll of 4000 ft)</t>
  </si>
  <si>
    <t>clips</t>
  </si>
  <si>
    <t>clip</t>
  </si>
  <si>
    <t>Staples, lbs.</t>
  </si>
  <si>
    <t>lb.</t>
  </si>
  <si>
    <t>Crimping sleeves (for joining wire ends)</t>
  </si>
  <si>
    <t>crimps</t>
  </si>
  <si>
    <t>crimp</t>
  </si>
  <si>
    <t>Total Trellis Construction materials</t>
  </si>
  <si>
    <t xml:space="preserve">Price $/ft </t>
  </si>
  <si>
    <t xml:space="preserve">Total Cost per acre </t>
  </si>
  <si>
    <t xml:space="preserve">Main line: 6” pipe </t>
  </si>
  <si>
    <t xml:space="preserve">Laterals: 4” pipe </t>
  </si>
  <si>
    <t xml:space="preserve">Installation </t>
  </si>
  <si>
    <t xml:space="preserve">Total Drainage Construction per acre </t>
  </si>
  <si>
    <t>* assumptions: tile drainage in the middle of every third row (27 feet apart)</t>
  </si>
  <si>
    <t>(Unit: Acre)</t>
  </si>
  <si>
    <t>Labor Used</t>
  </si>
  <si>
    <t>Labor Hours</t>
  </si>
  <si>
    <t>Equipment Hours</t>
  </si>
  <si>
    <t>Labor Cost</t>
  </si>
  <si>
    <t>Equipment Cost</t>
  </si>
  <si>
    <t>Materials Cost</t>
  </si>
  <si>
    <t>*this is for T10 Year1-3</t>
  </si>
  <si>
    <t>Site Preparation</t>
  </si>
  <si>
    <t>Drainage (see table 5 for details)</t>
  </si>
  <si>
    <t>Custom</t>
  </si>
  <si>
    <t>5000?</t>
  </si>
  <si>
    <t>Site preparation</t>
  </si>
  <si>
    <t>Lime (2 tons/acre)</t>
  </si>
  <si>
    <t>custom total cost</t>
  </si>
  <si>
    <t>Vines &amp; planting</t>
  </si>
  <si>
    <t>Herbicide application</t>
  </si>
  <si>
    <t>Trellis materials &amp; construction</t>
  </si>
  <si>
    <t>Stone removal &amp; land maint.</t>
  </si>
  <si>
    <t>Unskilled</t>
  </si>
  <si>
    <t>Replanting &amp; Rougeing</t>
  </si>
  <si>
    <t>Soil Sampling</t>
  </si>
  <si>
    <t>Skilled</t>
  </si>
  <si>
    <t>Dormant pruning &amp; removal</t>
  </si>
  <si>
    <t>Fall fertilization</t>
  </si>
  <si>
    <t xml:space="preserve">Weed control </t>
  </si>
  <si>
    <t>Plowing</t>
  </si>
  <si>
    <t xml:space="preserve">Custom  </t>
  </si>
  <si>
    <t>Fertilization</t>
  </si>
  <si>
    <t>Discing (2X)</t>
  </si>
  <si>
    <t>Canopy management</t>
  </si>
  <si>
    <t>Pickup truck (10,000 miles for 50 ac/year)</t>
  </si>
  <si>
    <t>n/a</t>
  </si>
  <si>
    <t>pick up</t>
  </si>
  <si>
    <t>Disease &amp; insect control</t>
  </si>
  <si>
    <t>Take away &amp; hilling up</t>
  </si>
  <si>
    <t>Total</t>
  </si>
  <si>
    <t>Mowing</t>
  </si>
  <si>
    <t>Bird Control</t>
  </si>
  <si>
    <t xml:space="preserve">First Year </t>
  </si>
  <si>
    <t>Floating/dragging</t>
  </si>
  <si>
    <t>vines &amp; planting</t>
  </si>
  <si>
    <t>Fertilization (banded)</t>
  </si>
  <si>
    <t>fertilization</t>
  </si>
  <si>
    <t>Hilling up</t>
  </si>
  <si>
    <t>take away &amp; hilling up</t>
  </si>
  <si>
    <t xml:space="preserve">Chem. weed control -trellis </t>
  </si>
  <si>
    <t>weed control</t>
  </si>
  <si>
    <t>Trellis construction (see table 6 for details)</t>
  </si>
  <si>
    <t>trellis materials &amp; construction</t>
  </si>
  <si>
    <t>Spot herbicide-hand application</t>
  </si>
  <si>
    <t>Cultivation (2X)</t>
  </si>
  <si>
    <t>Spray 1</t>
  </si>
  <si>
    <t>Spray 2</t>
  </si>
  <si>
    <t>Spray 3</t>
  </si>
  <si>
    <t>Seed cover crop</t>
  </si>
  <si>
    <t>Total for first year and site prep</t>
  </si>
  <si>
    <t xml:space="preserve">Total Cost </t>
  </si>
  <si>
    <t>Second Year</t>
  </si>
  <si>
    <t>Pruning &amp; brush removal</t>
  </si>
  <si>
    <t>pruning</t>
  </si>
  <si>
    <t>Tying &amp; renewal</t>
  </si>
  <si>
    <t>canopy management</t>
  </si>
  <si>
    <t>Vine Replacement</t>
  </si>
  <si>
    <t>vine replacement</t>
  </si>
  <si>
    <t>Spring Fertilization</t>
  </si>
  <si>
    <t>Chem. weed control-trellis</t>
  </si>
  <si>
    <t xml:space="preserve">Suckering </t>
  </si>
  <si>
    <t>Cluster removal</t>
  </si>
  <si>
    <t>Take away (de-hilling)</t>
  </si>
  <si>
    <t>Hand hoe</t>
  </si>
  <si>
    <t>Spot herbicide treatment</t>
  </si>
  <si>
    <t xml:space="preserve">Hilling up </t>
  </si>
  <si>
    <t>Spray 4</t>
  </si>
  <si>
    <t>Mowing (4X)</t>
  </si>
  <si>
    <t>mowing</t>
  </si>
  <si>
    <t>rogueing</t>
  </si>
  <si>
    <t>Third Year</t>
  </si>
  <si>
    <t>pruning &amp; br. rem.</t>
  </si>
  <si>
    <t>Brush chopping (1X)</t>
  </si>
  <si>
    <t>Vine replacement</t>
  </si>
  <si>
    <t>Chem. weed control- trellis</t>
  </si>
  <si>
    <t xml:space="preserve">Suckering  </t>
  </si>
  <si>
    <t>Bird control</t>
  </si>
  <si>
    <t>bird control</t>
  </si>
  <si>
    <t>Spray 5</t>
  </si>
  <si>
    <t>Spray 6</t>
  </si>
  <si>
    <t>Spray 7</t>
  </si>
  <si>
    <t>Pruning and brush pulling</t>
  </si>
  <si>
    <t>Material</t>
  </si>
  <si>
    <t>Custom Herbicide</t>
  </si>
  <si>
    <t>Glyphosate</t>
  </si>
  <si>
    <t>Ammonia Sulfate</t>
  </si>
  <si>
    <t>Surflan</t>
  </si>
  <si>
    <t>Prowl H20</t>
  </si>
  <si>
    <t>Chateau</t>
  </si>
  <si>
    <t>fl. Oz</t>
  </si>
  <si>
    <t>Rely 280</t>
  </si>
  <si>
    <t>Market Purchase Option</t>
  </si>
  <si>
    <t>Cost per/unit</t>
  </si>
  <si>
    <t>Cost per</t>
  </si>
  <si>
    <t>Amonia Sulfate</t>
  </si>
  <si>
    <t>Example Herbicide Program</t>
  </si>
  <si>
    <t>Herbicide Chemical Cost Key</t>
  </si>
  <si>
    <t>Target of spray</t>
  </si>
  <si>
    <t>lbs</t>
  </si>
  <si>
    <t>Chemical weed control - trellis</t>
  </si>
  <si>
    <t>Chemical weed control - spot</t>
  </si>
  <si>
    <t>fl oz</t>
  </si>
  <si>
    <t>Establishment and Development Costs - Site Preperation to Year 3</t>
  </si>
  <si>
    <t>Site Preperation</t>
  </si>
  <si>
    <t>Year One</t>
  </si>
  <si>
    <t>Year Two</t>
  </si>
  <si>
    <t>Year Three</t>
  </si>
  <si>
    <t>Soil sampling</t>
  </si>
  <si>
    <t>test</t>
  </si>
  <si>
    <t>Lime</t>
  </si>
  <si>
    <t>tons</t>
  </si>
  <si>
    <t>Fertilization 10:10:10</t>
  </si>
  <si>
    <t>bales</t>
  </si>
  <si>
    <t>bale</t>
  </si>
  <si>
    <t>Soil application Solubor</t>
  </si>
  <si>
    <t>Muriate of potash</t>
  </si>
  <si>
    <t>Petiole sampling</t>
  </si>
  <si>
    <t>10:10:10  (spr. fert., banded)</t>
  </si>
  <si>
    <t>Lime and Spreader (in row applic)</t>
  </si>
  <si>
    <t>Solubor</t>
  </si>
  <si>
    <t>Lime , custom applic, site prep.</t>
  </si>
  <si>
    <t>Petiole Sampling</t>
  </si>
  <si>
    <t>Round hay bales</t>
  </si>
  <si>
    <t>Amount/Acre</t>
  </si>
  <si>
    <t>Yearly Price</t>
  </si>
  <si>
    <t>Muriate of Posh</t>
  </si>
  <si>
    <t>Mulch</t>
  </si>
  <si>
    <t>3+</t>
  </si>
  <si>
    <t>Muriate of Posh (every 3rd year)</t>
  </si>
  <si>
    <t>Lime (every 5th year)</t>
  </si>
  <si>
    <t>sampling</t>
  </si>
  <si>
    <t>Soil sampling (every 5th year)</t>
  </si>
  <si>
    <t>Example Fertilizer Program</t>
  </si>
  <si>
    <t>Year of establishment and development</t>
  </si>
  <si>
    <t xml:space="preserve">   Year 1</t>
  </si>
  <si>
    <t xml:space="preserve">   Year 2</t>
  </si>
  <si>
    <t xml:space="preserve">   Year 3</t>
  </si>
  <si>
    <t>Revenue</t>
  </si>
  <si>
    <t>Yield per acre (tons)</t>
  </si>
  <si>
    <t xml:space="preserve">Total revenue </t>
  </si>
  <si>
    <t>Costs</t>
  </si>
  <si>
    <t xml:space="preserve">Site preparation </t>
  </si>
  <si>
    <t xml:space="preserve">Annual variable costs </t>
  </si>
  <si>
    <t>-Preharvest</t>
  </si>
  <si>
    <t>-Harvest (hand)+hauling</t>
  </si>
  <si>
    <t xml:space="preserve">Annual fixed costs </t>
  </si>
  <si>
    <t>-Office Supplies, phone, etc.</t>
  </si>
  <si>
    <t>-Insurance (fire, liability)</t>
  </si>
  <si>
    <t>-Management</t>
  </si>
  <si>
    <t>Total Fixed Costs</t>
  </si>
  <si>
    <t xml:space="preserve">Interest on cumulative costs </t>
  </si>
  <si>
    <t xml:space="preserve">Total costs </t>
  </si>
  <si>
    <t>Net returns</t>
  </si>
  <si>
    <t xml:space="preserve">Total cumulative costs </t>
  </si>
  <si>
    <t>Amortization of vineyard:</t>
  </si>
  <si>
    <t>Cash costs of vineyard establishment (3 Yrs.)</t>
  </si>
  <si>
    <t>Pick-up (fuel, maintenances…etc)</t>
  </si>
  <si>
    <t>Crop Insurance*</t>
  </si>
  <si>
    <t>Total Growing Costs</t>
  </si>
  <si>
    <t>Total Growing Costs - Year 1 - 3</t>
  </si>
  <si>
    <t>Receipts:</t>
  </si>
  <si>
    <t>Price, $ per ton</t>
  </si>
  <si>
    <t>Total receipts</t>
  </si>
  <si>
    <t>Costs:</t>
  </si>
  <si>
    <t>Variable Costs:</t>
  </si>
  <si>
    <t>Interest on operating capital</t>
  </si>
  <si>
    <t>Trucking ($30/ton)</t>
  </si>
  <si>
    <t>Total variable costs</t>
  </si>
  <si>
    <t>(Optional) Bird control - sound*</t>
  </si>
  <si>
    <t>Fixed Costs:</t>
  </si>
  <si>
    <t>Vineyard capital recovery</t>
  </si>
  <si>
    <t>Property taxes</t>
  </si>
  <si>
    <t>Management</t>
  </si>
  <si>
    <t>Total fixed costs</t>
  </si>
  <si>
    <t>Total costs</t>
  </si>
  <si>
    <t>Profit or loss</t>
  </si>
  <si>
    <t>Operation</t>
  </si>
  <si>
    <t>Pruning+brush pulling</t>
  </si>
  <si>
    <t>pruning &amp; br. Rem</t>
  </si>
  <si>
    <t>Trellis maintenance</t>
  </si>
  <si>
    <t xml:space="preserve">trellis </t>
  </si>
  <si>
    <t xml:space="preserve">Chem.weed control-trellis </t>
  </si>
  <si>
    <t>Soil applic of Solubor (w. herb. Spray)</t>
  </si>
  <si>
    <t>Suckering</t>
  </si>
  <si>
    <t>Pick-up</t>
  </si>
  <si>
    <t xml:space="preserve">Cluster removal </t>
  </si>
  <si>
    <t>Crop Insurance</t>
  </si>
  <si>
    <t>Shoot thinning</t>
  </si>
  <si>
    <t>Take-away (de-hilling)</t>
  </si>
  <si>
    <t>Dis. &amp; insect cont.</t>
  </si>
  <si>
    <t>Spray 8</t>
  </si>
  <si>
    <t>Spray 9</t>
  </si>
  <si>
    <t>Spray 10</t>
  </si>
  <si>
    <t>Spray 11</t>
  </si>
  <si>
    <t>Lime (1 in 5 years)</t>
  </si>
  <si>
    <t>Shoot positioning/move catch wires (first path)</t>
  </si>
  <si>
    <t>Shoot positioning/move catch wires (second path)</t>
  </si>
  <si>
    <t>Summer pruning (2X)</t>
  </si>
  <si>
    <t>Petiole sampling ($88 for every 2 years)</t>
  </si>
  <si>
    <t>Soil sampling (every 5 years)</t>
  </si>
  <si>
    <t>Hilling-up</t>
  </si>
  <si>
    <t>Crop insurance</t>
  </si>
  <si>
    <t>Summary of Growing Costs for V. Vinifera for Year 4+</t>
  </si>
  <si>
    <t xml:space="preserve">      -Property Taxes</t>
  </si>
  <si>
    <t>Sales Price</t>
  </si>
  <si>
    <t>Estimated Yield Per Acre</t>
  </si>
  <si>
    <t>$/Ton</t>
  </si>
  <si>
    <t>line posts</t>
  </si>
  <si>
    <t>Quantity/Acre</t>
  </si>
  <si>
    <t>Costs &amp; Returns of a Mature Vineyard - Year 4 On</t>
  </si>
  <si>
    <t>Total Growth Costs</t>
  </si>
  <si>
    <t>Growth Costs - Year 4 On</t>
  </si>
  <si>
    <t>Other Cost Assumptions</t>
  </si>
  <si>
    <t>Shop Construction</t>
  </si>
  <si>
    <t>Cost Per Sqr Ft</t>
  </si>
  <si>
    <t>Square Feet</t>
  </si>
  <si>
    <t>Cost per planted acre*</t>
  </si>
  <si>
    <t>*Cost per planted acre takes into account equipment, machinery, and shop costs</t>
  </si>
  <si>
    <t>Crop Loss Factor</t>
  </si>
  <si>
    <t>Percent of Mature Yield</t>
  </si>
  <si>
    <t>Tons Per Acre</t>
  </si>
  <si>
    <t>Price Per Ton</t>
  </si>
  <si>
    <t>Total Revenue</t>
  </si>
  <si>
    <t>Total Costs</t>
  </si>
  <si>
    <t>Cumulative Income</t>
  </si>
  <si>
    <t>Average Income</t>
  </si>
  <si>
    <t>First Year of Cummulative Income</t>
  </si>
  <si>
    <t>Yearly % Increase of Total Costs</t>
  </si>
  <si>
    <t>General Cost Assumptions</t>
  </si>
  <si>
    <t>4+</t>
  </si>
  <si>
    <t>Receipts</t>
  </si>
  <si>
    <t>Yield &amp; Sales Assumptions</t>
  </si>
  <si>
    <t>Establishment &amp; Development Cost &amp; Returns</t>
  </si>
  <si>
    <t>Development Years</t>
  </si>
  <si>
    <t>Mature Years</t>
  </si>
  <si>
    <t>*Remember, the inflation rate is roughly 2%</t>
  </si>
  <si>
    <t>Tractor, 72-HP, 4WD, spray cab</t>
  </si>
  <si>
    <t>Bunkhouse size</t>
  </si>
  <si>
    <t>Bunkhouse contruction cost</t>
  </si>
  <si>
    <t>Bunkhouse Construction</t>
  </si>
  <si>
    <t>Catchwire clips (6 per line post)</t>
  </si>
  <si>
    <t>Training Stake</t>
  </si>
  <si>
    <t>bamboo stake</t>
  </si>
  <si>
    <t>Shop - Total Cost</t>
  </si>
  <si>
    <t>Bunkhouse - Total Cost</t>
  </si>
  <si>
    <t>Years of Life</t>
  </si>
  <si>
    <t>Machinery, equipment &amp; buildings capital recovery</t>
  </si>
  <si>
    <t>Insert your own</t>
  </si>
  <si>
    <t>Spray (insecticide/fungicide)</t>
  </si>
  <si>
    <t>Herbicide</t>
  </si>
  <si>
    <t>Fertilizer</t>
  </si>
  <si>
    <t>0 (land prep)</t>
  </si>
  <si>
    <t>Numbers are based on the example spray program found on sheet "Ex. Spray Program"</t>
  </si>
  <si>
    <t>Numbers are based on the example herbicide program found on sheet "Ex. Herbicide Program"</t>
  </si>
  <si>
    <t>Numbers are based on the example fertilizer program found on sheet "Ex. Fertilizer Program"</t>
  </si>
  <si>
    <t>Insecticide, Fungicide, Herbicide &amp; Fertilizer Material Cost Assumptions</t>
  </si>
  <si>
    <t>Includes labor and variable machinery costs</t>
  </si>
  <si>
    <t>2020 Cost of establishment and development of a small-medium scale V. Vinifera vineyard</t>
  </si>
  <si>
    <t>By</t>
  </si>
  <si>
    <t>Trent Davis</t>
  </si>
  <si>
    <t>Miguel Gomez</t>
  </si>
  <si>
    <t>Tony Wolf</t>
  </si>
  <si>
    <t>General instructions for using the spreadsheets</t>
  </si>
  <si>
    <t>Tremain Hatch</t>
  </si>
  <si>
    <t>Hans Walter-Peterson</t>
  </si>
  <si>
    <t>Invidual sheet explanations</t>
  </si>
  <si>
    <t>General Assumptions</t>
  </si>
  <si>
    <t>Mature Vineyard Results</t>
  </si>
  <si>
    <t>Machinery &amp; Equipment</t>
  </si>
  <si>
    <t>Trellis &amp; Drainage</t>
  </si>
  <si>
    <t>Ex. Spray Program</t>
  </si>
  <si>
    <t>Ex. Herbicide Program</t>
  </si>
  <si>
    <t>Ex. Fertilizer Program</t>
  </si>
  <si>
    <t>Establishment &amp; Dev Costs</t>
  </si>
  <si>
    <t>Mature Growing Costs</t>
  </si>
  <si>
    <t>Sheet</t>
  </si>
  <si>
    <t>Explanation</t>
  </si>
  <si>
    <t>Budget assumptions and information</t>
  </si>
  <si>
    <t>The example vineyard is assumed to have 20 acres of planted V. Vinifera grapes and 4 acres of roads, shops, etc., resulting in 24 total acres.</t>
  </si>
  <si>
    <t>All of these assumptions can be changed</t>
  </si>
  <si>
    <t>Machine harvesting is estimated to be $95.00 per ton, hand harvesting $300.00 per ton, and shipping/trucking $30.00 per ton</t>
  </si>
  <si>
    <t>We assume the vineyard is receiving $2,200 per-ton when selling their grapes.</t>
  </si>
  <si>
    <t>Is deer fencing utilized?</t>
  </si>
  <si>
    <t>Yes</t>
  </si>
  <si>
    <t>No</t>
  </si>
  <si>
    <t>Feet of deer fencing - perimiter of planted acres</t>
  </si>
  <si>
    <t>Deer Fencing</t>
  </si>
  <si>
    <t>Cost per foot - including labor</t>
  </si>
  <si>
    <t>Total feet of fencing</t>
  </si>
  <si>
    <t>Deer Fencing - Total Cost</t>
  </si>
  <si>
    <t>Estimated cost per foot - including labor costs</t>
  </si>
  <si>
    <r>
      <t>ft</t>
    </r>
    <r>
      <rPr>
        <vertAlign val="superscript"/>
        <sz val="12"/>
        <rFont val="Calibri"/>
        <family val="2"/>
        <scheme val="minor"/>
      </rPr>
      <t>2</t>
    </r>
  </si>
  <si>
    <r>
      <t>per ft</t>
    </r>
    <r>
      <rPr>
        <vertAlign val="superscript"/>
        <sz val="12"/>
        <rFont val="Calibri"/>
        <family val="2"/>
        <scheme val="minor"/>
      </rPr>
      <t>2</t>
    </r>
  </si>
  <si>
    <t>State and federal income tax</t>
  </si>
  <si>
    <t>per ft</t>
  </si>
  <si>
    <t>per/ton</t>
  </si>
  <si>
    <r>
      <t xml:space="preserve">Yield </t>
    </r>
    <r>
      <rPr>
        <b/>
        <sz val="12"/>
        <rFont val="Calibri"/>
        <family val="2"/>
        <scheme val="minor"/>
      </rPr>
      <t>target</t>
    </r>
    <r>
      <rPr>
        <sz val="12"/>
        <rFont val="Calibri"/>
        <family val="2"/>
        <scheme val="minor"/>
      </rPr>
      <t>, tons per acre</t>
    </r>
  </si>
  <si>
    <t>Yearly % Increase of Price Per Ton</t>
  </si>
  <si>
    <t>Value</t>
  </si>
  <si>
    <t>Your Numbers</t>
  </si>
  <si>
    <t>Your Estimated V. Vinifera - Sensitivity Analysis - 2020 - Per Acre</t>
  </si>
  <si>
    <t>Estimated Purchase Price</t>
  </si>
  <si>
    <t>Your Purchase Price</t>
  </si>
  <si>
    <t>Estimated</t>
  </si>
  <si>
    <t>Your Value</t>
  </si>
  <si>
    <t>per ton</t>
  </si>
  <si>
    <t>Based on the information you have provided we can answer these quick questions below:</t>
  </si>
  <si>
    <t>After how many years is my vineyard expected to generate net-cummulative income?</t>
  </si>
  <si>
    <t>What are the receipts I receive on a per acre basis of a mature vineyard?</t>
  </si>
  <si>
    <t>What are the total costs I incur on a per acre basis of a mature vineyard?</t>
  </si>
  <si>
    <t>tons per acre</t>
  </si>
  <si>
    <t>Given Estimates</t>
  </si>
  <si>
    <t>Your Estimated Quantity/Price if Different Than Given Estimates</t>
  </si>
  <si>
    <t>Your Estimates</t>
  </si>
  <si>
    <t>Tile Drainage Materials &amp; Cost per Acre</t>
  </si>
  <si>
    <t>Quantity (ft)/Acre</t>
  </si>
  <si>
    <t>Drop Down</t>
  </si>
  <si>
    <t>GPS Planting ($1.10 planting cost, $4.25 vine cost)</t>
  </si>
  <si>
    <t>Given my estimated sales price, what yield on a ton/acre basis do I need to produce V. Vinifera grapes for to breakeven?</t>
  </si>
  <si>
    <t>My estimated price/ton</t>
  </si>
  <si>
    <t>My estimated yields ton/acre</t>
  </si>
  <si>
    <t>What is the cash cost of planting one acre of V. Vinifera (total variable costs of years 0-3)?</t>
  </si>
  <si>
    <t>My estimated vineyard size</t>
  </si>
  <si>
    <t>planted acres</t>
  </si>
  <si>
    <t>Land Cost - per acre</t>
  </si>
  <si>
    <t>YOUR Sales Price</t>
  </si>
  <si>
    <t>Estimated Price</t>
  </si>
  <si>
    <t>What is the total investment for establishment and development of my entire vineyard, including machinery/equipment investment?</t>
  </si>
  <si>
    <t>Is my vineyard estimated to be economically profitable on a per acre basis once it hits maturity (year 4 on)?</t>
  </si>
  <si>
    <t>Is tile drainage utilized?</t>
  </si>
  <si>
    <t>Is Tile drainage utilized?</t>
  </si>
  <si>
    <t>Machine Harvesting</t>
  </si>
  <si>
    <t>Growing costs (incl. crop insurance @$109/Ac)</t>
  </si>
  <si>
    <t>Harvest Costs</t>
  </si>
  <si>
    <t>Hand Harvesting</t>
  </si>
  <si>
    <t>Do you use machine or hand harvesting practices?</t>
  </si>
  <si>
    <t>Machine Harvest</t>
  </si>
  <si>
    <t>Hand Harvest</t>
  </si>
  <si>
    <t>Base Model Values</t>
  </si>
  <si>
    <t>Combination of Both</t>
  </si>
  <si>
    <t>Machine harvesting and hauling price</t>
  </si>
  <si>
    <t>Percent of harvest using machinery</t>
  </si>
  <si>
    <t>Percent of harvest using hand harvesting</t>
  </si>
  <si>
    <t>Urea</t>
  </si>
  <si>
    <t>Are bird control methods utilized?</t>
  </si>
  <si>
    <t>Bird control costs</t>
  </si>
  <si>
    <t>$/acre</t>
  </si>
  <si>
    <t>years</t>
  </si>
  <si>
    <t>Market price</t>
  </si>
  <si>
    <t xml:space="preserve">Trellis materials &amp; maintenance </t>
  </si>
  <si>
    <t>YOUR Target Yields (Tons/Acre)</t>
  </si>
  <si>
    <t>Estimated Target Yields (Tons/Acre)</t>
  </si>
  <si>
    <t>Annual Net Income</t>
  </si>
  <si>
    <t>Your 25-year Projections - Per Acre</t>
  </si>
  <si>
    <t>Labor &amp; Equipment Cost</t>
  </si>
  <si>
    <t>Breakeven price  ($ /ton) assumes yield stays 5 tons/acre</t>
  </si>
  <si>
    <t>Breakeven yield (tons) assumes price stays $2,200 per ton</t>
  </si>
  <si>
    <t>Total Variable Costs</t>
  </si>
  <si>
    <t>Per Acre Cost</t>
  </si>
  <si>
    <t>Variable</t>
  </si>
  <si>
    <t>Machinery Cost</t>
  </si>
  <si>
    <t>We assume skilled labor costs $23.00 per hour and unskilled labor costs $17.50 per hour.</t>
  </si>
  <si>
    <t>If you feel the total material costs for the spray programs do not match your own costs you may update the yearly spray costs on the "General Assumptions" sheet, which will then update the overall tool.</t>
  </si>
  <si>
    <t>If you feel the total material costs for the spray programs do not match your own costs you may update the yearly herbicide costs on the "General Assumptions" sheet, which will then update the overall tool.</t>
  </si>
  <si>
    <t>If you feel the total material costs for the fertilizer programs do not match your own costs you may update the yearly fertilizer costs on the "General Assumptions" sheet, which will then update the overall tool.</t>
  </si>
  <si>
    <t>What is the economic profit or loss of my mature vineyard on a per acre basis?</t>
  </si>
  <si>
    <t>This sheet provides basic assumptions for your vineyard. Vineyard layout, expense assumptions, harvesting expenses, and yield/sales price information can all be updated to mimic your personal vineyard. Changing the numbers on this page will signficantly change the final results.</t>
  </si>
  <si>
    <t xml:space="preserve">This sheet provides the results indicating the revenues and costs of the FIRST THREE years of developing a vineyard. We assume the vineyard is not producing for years 1 or 2, and is only producing at 50% in year 3. These yield assumptions can be changed under the "General Assumptions" sheet. A table titled "Total Growing Costs - Years 1-3" shows calculated variable costs representing the costs of individual processes necessary for establishing/growing V. Vinifera. These numbers automatically update when you make changes on the "General Assumptions" sheet. However, if you feel they are not representative of your vineyard you can change the numbers highlighted in blue which will then change the line "Total Variable Costs &amp; Site preparation" on the budget found on the sheet. </t>
  </si>
  <si>
    <t>You will also find a sensitivity analysis table indicating the returns per acre when the yields and/or sales price per ton change from the assumed yields and price per ton indicated un the "General Assumptions" page. The yield and sales price highlighted in orange represent the numbers found on the "General Assumptions" page, while the number highlighted green in the table indicates economic gains of $1,000+/acre, yellow highlighted cells represent economic gains of $1-$999/acre, and cells highlighted in red indicate an economic loss.</t>
  </si>
  <si>
    <r>
      <t xml:space="preserve">This Excel spreadsheet tool is designed to assist growers in the Eastern Half of the United States with modeling potential costs of establishing and running a V. Vinifera vineyard. The tool allows growers to modify the characteristics of a model farm to better match their individual situations. The tables in this spreadsheet are </t>
    </r>
    <r>
      <rPr>
        <b/>
        <i/>
        <sz val="12"/>
        <color theme="1"/>
        <rFont val="Calibri"/>
        <family val="2"/>
        <scheme val="minor"/>
      </rPr>
      <t>dynamic</t>
    </r>
    <r>
      <rPr>
        <sz val="12"/>
        <color theme="1"/>
        <rFont val="Calibri"/>
        <family val="2"/>
        <scheme val="minor"/>
      </rPr>
      <t xml:space="preserve"> and will change as the input variables are modified.</t>
    </r>
  </si>
  <si>
    <r>
      <t xml:space="preserve">The information highlighted in </t>
    </r>
    <r>
      <rPr>
        <sz val="12"/>
        <color theme="8" tint="-0.249977111117893"/>
        <rFont val="Calibri"/>
        <family val="2"/>
        <scheme val="minor"/>
      </rPr>
      <t>blue</t>
    </r>
    <r>
      <rPr>
        <sz val="12"/>
        <color theme="1"/>
        <rFont val="Calibri"/>
        <family val="2"/>
        <scheme val="minor"/>
      </rPr>
      <t xml:space="preserve"> is information obtained by talking to multiple  V. Vinifera producers in the Finger Lakes region of New York, as well as information obtained from both Cornell University and Virginia Tech University's Extension programs. These values can be changed to better mirror your personal situation. Any changes made to these numbers highlighted in blue will change linked spreadsheets.</t>
    </r>
  </si>
  <si>
    <r>
      <t xml:space="preserve">The information highlighted in </t>
    </r>
    <r>
      <rPr>
        <sz val="12"/>
        <color theme="9" tint="-0.249977111117893"/>
        <rFont val="Calibri"/>
        <family val="2"/>
        <scheme val="minor"/>
      </rPr>
      <t>green</t>
    </r>
    <r>
      <rPr>
        <sz val="12"/>
        <color theme="1"/>
        <rFont val="Calibri"/>
        <family val="2"/>
        <scheme val="minor"/>
      </rPr>
      <t xml:space="preserve"> is calculated information regarding  variable costs, fixed costs, total costs, and revenues. This information will not change without editing the data highlighted in blue.</t>
    </r>
  </si>
  <si>
    <t>The information in this publication serves as a general example for a modern and well-managed V. Vinifera vineyard in 2020 in the Eastern part of the United States. It is not meant to be a suggestion on how a vineyard should be run or managed. In order to make sure the information provides the most accurate information for your individual vineyard please look over the assumptions carefully, and change anything you feel needs to be modified to better suit your needs.</t>
  </si>
  <si>
    <t>We assume individual vines cost $4.25 and it costs $1.10 to plant them via GPS planting techniques.</t>
  </si>
  <si>
    <t>The vineyard is planted with 11 rows per acres spaced 9 feet apart, and vines planted 4 feet apart, resulting in 1,210 vines per acre.</t>
  </si>
  <si>
    <t>We do not include the costs of land, a bunkhouse, or a shop. All may be included by editing the "General Assumptions" sheet.</t>
  </si>
  <si>
    <t>Insurance totaling 1% of assets, school/property taxes of $25.00 for every $1,000 is assessed, $3,000 worth of office supplies, and a management fee of 5% of gross receipts are all assumed.</t>
  </si>
  <si>
    <t>We assume for years 1 and 2 the vineyard is not producing any grapes suitable for sale, for year 3 we assume a 50% production rate, and starting at year 4 we assume the  vineyard is mature and producing at 100% capacity. This assumption results in 4 tons/acre of high quality V. Vinifera grapes produced each year once the vineyard is mature.</t>
  </si>
  <si>
    <t>Vineyard Establishment &amp; Dev Results</t>
  </si>
  <si>
    <t>This sheet provides the results indicating the revenues and costs of a mature V. Vinifera vineyard, year 4 on. We assume after year 4 the vineyard is producing at 100% yields which can be changed on the "General Assumptions" sheet. A table titled "Growing Costs - Years 4 On" shows calculated variable costs representing the costs of individual processes necessary for growing V. Vinifera. These numbers automatically update when you update the "General Assumptions" sheet. However, if you feel they are not representative of your vineyard you can change the numbers highlighted in blue which will then change the line "Total Variable Costs &amp; Site Preparation" on the budget found on the sheet.</t>
  </si>
  <si>
    <t>Finally, you can find a 25-year projection of overall returns and costs. Our base model does not include any crop failure, but this may not be realistic. If you would like to model a percent crop failure for one, or multiple, year(s) and its effect on overall returns please change the number highlighted in blue located on the line "Crop Loss Factor." You may also model how an assumed yearly percentage increase in sales price-per-ton and/or an increase in total costs would affect returns.</t>
  </si>
  <si>
    <t>This sheet contains assumptions about the type of machinery purchased by a V. Vinifera vineyard owner/manager. The price and expected years of use can be easily editted to better suit your machinery/equipment costs. If these numbers are modified the rest of sheet will update automatically. You can also update the expected hours of life, which will change the hourly variable costs. If you wish to add in the costs of either a shop or a bunkhouse you may add the total square feet of either, and the cost-per-square-foot for the construction of each as well. Making changes to this sheet will change both the overall variable costs and yearly ammortization.</t>
  </si>
  <si>
    <t>This sheet indicates the assumptions for trellis and drainage costs for one acre of V. Vinifera. You can change the amount of each material and the material costs for trellising and drainage. By changing these costs the rest of the tool will be updated as well.</t>
  </si>
  <si>
    <t xml:space="preserve">This sheet contains an example of an insecticide/fungicide spray program for years 1, 2, 3, and 4+ (mature vineyard), and their associated material costs. This is not meant to be a suggestion or a guide for a spray program, but instead shows what a V. Vinifera vineyard may need in terms of fungicide and insecticide. This spray program was developed by speaking with producers in the Finger Lakes region of New York, and Cornell/Virginia Tech Extension agents. It is not representative of all regions in the Eastern United States. The information on this page cannot be editted and is instead merely an example. </t>
  </si>
  <si>
    <t>This sheet gives a yearly breakdown of labor type, labor hours, labor costs, equipment/machinery operating hours and costs, and material costs for years 0 (site preparation), 1, 2 and 3 of the development phase of a V. Vinifera vineyard. The numbers on this sheet cannot be directly edited. However, by changing information under the "General Assumptions" sheet this page will update automatically.</t>
  </si>
  <si>
    <t xml:space="preserve">This sheet contains an example of a fertilizer program for years 1, 2, 3, and 4+ (mature vineyard), and their associated material costs. This is not meant to be a suggestion or a guide for a fertilizer program, but instead show what a V. Vinifera vineyard may need in terms of fertilizer. This spray program was developed by speaking with producers in the Finger Lakes region of New York and may not be representative of all regions in the Eastern United States. The information on this page cannot be edited and is instead merely an example. </t>
  </si>
  <si>
    <t xml:space="preserve">This sheet provides an example of a herbicide program for years 1, 2, 3, and 4+ (mature vineyard), and their associated material costs. This is not meant to be a suggestion or a guide for a herbicide program, but instead show what a V. Vinifera vineyard may need in terms of herbicide treatment. This spray program was developed by speaking with producers in the Finger Lakes region of New York and may not be representative of all regions in the Eastern United States. The information on this page cannot be edited and is instead merely an example. </t>
  </si>
  <si>
    <t xml:space="preserve">This is meant to be an example of what the individual costs are to establish a V. Vinifera vineyard. </t>
  </si>
  <si>
    <t>This sheet gives a breakdown of labor type, labor hours, labor costs, equipment/machinery operating hours and costs, for operating a mature V. Vinifera vineyard. The numbers on this sheet cannot be directly edited. However, changing information under the "General Assumptions" sheet this page will update automatically.</t>
  </si>
  <si>
    <t>This is meant to be an example of what the individual costs may be to operate a mature  V. Vinifera vineyard.</t>
  </si>
  <si>
    <t>Given my estimated yields, what price per ton do I need to sell my V. Vinifera grapes to breakeven?</t>
  </si>
  <si>
    <t>-Machines, equipment &amp; buildings</t>
  </si>
  <si>
    <t>=I22+J22</t>
  </si>
  <si>
    <t>=I23+J23</t>
  </si>
  <si>
    <t>=I24+J24</t>
  </si>
  <si>
    <t>=I25+J25</t>
  </si>
  <si>
    <t>Tractor, 72-HP, 2WD, spray cab</t>
  </si>
  <si>
    <t>Bird control equipment ($70 per acre)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</si>
</sst>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5" formatCode="&quot;$&quot;#,##0_);\(&quot;$&quot;#,##0\)"/>
    <numFmt numFmtId="6" formatCode="&quot;$&quot;#,##0_);[Red]\(&quot;$&quot;#,##0\)"/>
    <numFmt numFmtId="42" formatCode="_(&quot;$&quot;* #,##0_);_(&quot;$&quot;* \(#,##0\);_(&quot;$&quot;* &quot;-&quot;_);_(@_)"/>
    <numFmt numFmtId="44" formatCode="_(&quot;$&quot;* #,##0.00_);_(&quot;$&quot;* \(#,##0.00\);_(&quot;$&quot;* &quot;-&quot;??_);_(@_)"/>
    <numFmt numFmtId="43" formatCode="_(* #,##0.00_);_(* \(#,##0.00\);_(* &quot;-&quot;??_);_(@_)"/>
    <numFmt numFmtId="164" formatCode="&quot;$&quot;#,##0"/>
    <numFmt numFmtId="165" formatCode="0.0000"/>
    <numFmt numFmtId="166" formatCode="_([$$-409]* #,##0_);_([$$-409]* \(#,##0\);_([$$-409]* &quot;-&quot;??_);_(@_)"/>
    <numFmt numFmtId="167" formatCode="&quot;$&quot;#,##0.00"/>
    <numFmt numFmtId="168" formatCode="#,##0.0000"/>
    <numFmt numFmtId="169" formatCode="0.0"/>
    <numFmt numFmtId="170" formatCode="#,##0.0"/>
    <numFmt numFmtId="171" formatCode="0.0%"/>
    <numFmt numFmtId="172" formatCode="_(&quot;$&quot;* #,##0_);_(&quot;$&quot;* \(#,##0\);_(&quot;$&quot;* &quot;-&quot;??_);_(@_)"/>
    <numFmt numFmtId="173" formatCode="_(* #,##0_);_(* \(#,##0\);_(* &quot;-&quot;??_);_(@_)"/>
  </numFmts>
  <fonts count="33" x14ac:knownFonts="1">
    <font>
      <sz val="12"/>
      <color theme="1"/>
      <name val="Calibri"/>
      <family val="2"/>
      <scheme val="minor"/>
    </font>
    <font>
      <sz val="12"/>
      <color theme="1"/>
      <name val="Calibri"/>
      <family val="2"/>
      <scheme val="minor"/>
    </font>
    <font>
      <b/>
      <sz val="16"/>
      <color theme="1"/>
      <name val="Calibri"/>
      <family val="2"/>
      <scheme val="minor"/>
    </font>
    <font>
      <sz val="11"/>
      <name val="Calibri"/>
      <family val="2"/>
      <scheme val="minor"/>
    </font>
    <font>
      <b/>
      <sz val="16"/>
      <name val="Calibri"/>
      <family val="2"/>
      <scheme val="minor"/>
    </font>
    <font>
      <b/>
      <sz val="12"/>
      <color theme="1"/>
      <name val="Calibri"/>
      <family val="2"/>
      <scheme val="minor"/>
    </font>
    <font>
      <sz val="12"/>
      <color rgb="FFFF0000"/>
      <name val="Calibri"/>
      <family val="2"/>
      <scheme val="minor"/>
    </font>
    <font>
      <i/>
      <sz val="11"/>
      <name val="Calibri"/>
      <family val="2"/>
      <scheme val="minor"/>
    </font>
    <font>
      <i/>
      <sz val="12"/>
      <color theme="1"/>
      <name val="Calibri"/>
      <family val="2"/>
      <scheme val="minor"/>
    </font>
    <font>
      <b/>
      <i/>
      <sz val="12"/>
      <color theme="1"/>
      <name val="Calibri"/>
      <family val="2"/>
      <scheme val="minor"/>
    </font>
    <font>
      <sz val="12"/>
      <color theme="0"/>
      <name val="Calibri"/>
      <family val="2"/>
      <scheme val="minor"/>
    </font>
    <font>
      <b/>
      <sz val="12"/>
      <color theme="0"/>
      <name val="Calibri"/>
      <family val="2"/>
      <scheme val="minor"/>
    </font>
    <font>
      <b/>
      <i/>
      <sz val="12"/>
      <name val="Calibri"/>
      <family val="2"/>
      <scheme val="minor"/>
    </font>
    <font>
      <sz val="12"/>
      <name val="Calibri"/>
      <family val="2"/>
      <scheme val="minor"/>
    </font>
    <font>
      <sz val="16"/>
      <color theme="1"/>
      <name val="Calibri"/>
      <family val="2"/>
      <scheme val="minor"/>
    </font>
    <font>
      <u/>
      <sz val="12"/>
      <color theme="10"/>
      <name val="Calibri"/>
      <family val="2"/>
      <scheme val="minor"/>
    </font>
    <font>
      <b/>
      <u/>
      <sz val="16"/>
      <color theme="1"/>
      <name val="Calibri"/>
      <family val="2"/>
      <scheme val="minor"/>
    </font>
    <font>
      <sz val="12"/>
      <color rgb="FF000000"/>
      <name val="Calibri"/>
      <family val="2"/>
      <scheme val="minor"/>
    </font>
    <font>
      <vertAlign val="superscript"/>
      <sz val="12"/>
      <name val="Calibri"/>
      <family val="2"/>
      <scheme val="minor"/>
    </font>
    <font>
      <b/>
      <sz val="12"/>
      <name val="Calibri"/>
      <family val="2"/>
      <scheme val="minor"/>
    </font>
    <font>
      <b/>
      <u/>
      <sz val="12"/>
      <name val="Calibri"/>
      <family val="2"/>
      <scheme val="minor"/>
    </font>
    <font>
      <i/>
      <sz val="12"/>
      <name val="Calibri"/>
      <family val="2"/>
      <scheme val="minor"/>
    </font>
    <font>
      <sz val="12"/>
      <color theme="8" tint="-0.249977111117893"/>
      <name val="Calibri"/>
      <family val="2"/>
      <scheme val="minor"/>
    </font>
    <font>
      <sz val="12"/>
      <color theme="9" tint="-0.249977111117893"/>
      <name val="Calibri"/>
      <family val="2"/>
      <scheme val="minor"/>
    </font>
    <font>
      <sz val="12"/>
      <color rgb="FF7030A0"/>
      <name val="Calibri"/>
      <family val="2"/>
      <scheme val="minor"/>
    </font>
    <font>
      <b/>
      <sz val="14"/>
      <color theme="1"/>
      <name val="Calibri"/>
      <family val="2"/>
      <scheme val="minor"/>
    </font>
    <font>
      <u/>
      <sz val="16"/>
      <color theme="1"/>
      <name val="Calibri"/>
      <family val="2"/>
      <scheme val="minor"/>
    </font>
    <font>
      <b/>
      <sz val="14"/>
      <name val="Calibri"/>
      <family val="2"/>
      <scheme val="minor"/>
    </font>
    <font>
      <sz val="10"/>
      <color rgb="FF000000"/>
      <name val="Tahoma"/>
      <family val="2"/>
    </font>
    <font>
      <u/>
      <sz val="12"/>
      <color rgb="FF0070C0"/>
      <name val="Calibri"/>
      <family val="2"/>
      <scheme val="minor"/>
    </font>
    <font>
      <b/>
      <sz val="10"/>
      <color rgb="FF000000"/>
      <name val="Tahoma"/>
      <family val="2"/>
    </font>
    <font>
      <b/>
      <sz val="12"/>
      <color rgb="FF000000"/>
      <name val="Tahoma"/>
      <family val="2"/>
    </font>
    <font>
      <sz val="12"/>
      <color rgb="FF000000"/>
      <name val="Tahoma"/>
      <family val="2"/>
    </font>
  </fonts>
  <fills count="13">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theme="8" tint="0.59999389629810485"/>
        <bgColor indexed="64"/>
      </patternFill>
    </fill>
    <fill>
      <patternFill patternType="solid">
        <fgColor rgb="FFFFFF00"/>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1"/>
        <bgColor indexed="64"/>
      </patternFill>
    </fill>
    <fill>
      <patternFill patternType="solid">
        <fgColor rgb="FFFFFFFF"/>
        <bgColor rgb="FF000000"/>
      </patternFill>
    </fill>
    <fill>
      <patternFill patternType="solid">
        <fgColor theme="8" tint="0.39997558519241921"/>
        <bgColor indexed="64"/>
      </patternFill>
    </fill>
    <fill>
      <patternFill patternType="solid">
        <fgColor theme="5" tint="0.39997558519241921"/>
        <bgColor indexed="64"/>
      </patternFill>
    </fill>
  </fills>
  <borders count="6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rgb="FF000000"/>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medium">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dashDot">
        <color indexed="64"/>
      </left>
      <right/>
      <top/>
      <bottom style="thin">
        <color indexed="64"/>
      </bottom>
      <diagonal/>
    </border>
    <border>
      <left style="dashDot">
        <color indexed="64"/>
      </left>
      <right/>
      <top/>
      <bottom/>
      <diagonal/>
    </border>
    <border>
      <left/>
      <right style="medium">
        <color indexed="64"/>
      </right>
      <top/>
      <bottom style="dashDot">
        <color indexed="64"/>
      </bottom>
      <diagonal/>
    </border>
    <border>
      <left/>
      <right/>
      <top/>
      <bottom style="dashDot">
        <color indexed="64"/>
      </bottom>
      <diagonal/>
    </border>
    <border>
      <left style="medium">
        <color indexed="64"/>
      </left>
      <right/>
      <top/>
      <bottom style="dashDot">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
        <color indexed="64"/>
      </top>
      <bottom style="double">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0" fontId="15" fillId="0" borderId="0" applyNumberFormat="0" applyFill="0" applyBorder="0" applyAlignment="0" applyProtection="0"/>
    <xf numFmtId="43" fontId="1" fillId="0" borderId="0" applyFont="0" applyFill="0" applyBorder="0" applyAlignment="0" applyProtection="0"/>
  </cellStyleXfs>
  <cellXfs count="630">
    <xf numFmtId="0" fontId="0" fillId="0" borderId="0" xfId="0"/>
    <xf numFmtId="0" fontId="0" fillId="0" borderId="0" xfId="0" applyFont="1" applyFill="1" applyBorder="1"/>
    <xf numFmtId="0" fontId="0" fillId="3" borderId="0" xfId="0" applyFill="1"/>
    <xf numFmtId="0" fontId="0" fillId="3" borderId="0" xfId="0" applyFont="1" applyFill="1"/>
    <xf numFmtId="0" fontId="0" fillId="3" borderId="0" xfId="0" applyFont="1" applyFill="1" applyBorder="1"/>
    <xf numFmtId="0" fontId="3" fillId="3" borderId="0" xfId="0" applyFont="1" applyFill="1" applyBorder="1" applyAlignment="1">
      <alignment horizontal="left"/>
    </xf>
    <xf numFmtId="0" fontId="3" fillId="3" borderId="0" xfId="0" applyFont="1" applyFill="1" applyBorder="1"/>
    <xf numFmtId="0" fontId="8" fillId="0" borderId="4" xfId="0" applyFont="1" applyFill="1" applyBorder="1"/>
    <xf numFmtId="0" fontId="8" fillId="0" borderId="0" xfId="0" applyFont="1" applyFill="1" applyBorder="1"/>
    <xf numFmtId="0" fontId="8" fillId="0" borderId="5" xfId="0" applyFont="1" applyFill="1" applyBorder="1"/>
    <xf numFmtId="0" fontId="0" fillId="0" borderId="4" xfId="0" applyFont="1" applyFill="1" applyBorder="1"/>
    <xf numFmtId="0" fontId="0" fillId="0" borderId="22" xfId="0" applyFont="1" applyFill="1" applyBorder="1"/>
    <xf numFmtId="0" fontId="9" fillId="0" borderId="7" xfId="0" applyFont="1" applyFill="1" applyBorder="1"/>
    <xf numFmtId="164" fontId="3" fillId="3" borderId="0" xfId="0" applyNumberFormat="1" applyFont="1" applyFill="1" applyBorder="1" applyAlignment="1">
      <alignment horizontal="center"/>
    </xf>
    <xf numFmtId="165" fontId="3" fillId="3" borderId="0" xfId="0" applyNumberFormat="1" applyFont="1" applyFill="1" applyBorder="1" applyAlignment="1">
      <alignment horizontal="center"/>
    </xf>
    <xf numFmtId="0" fontId="3" fillId="3" borderId="0" xfId="0" applyFont="1" applyFill="1" applyBorder="1" applyAlignment="1">
      <alignment horizontal="center"/>
    </xf>
    <xf numFmtId="0" fontId="7" fillId="3" borderId="0" xfId="0" quotePrefix="1" applyFont="1" applyFill="1" applyBorder="1" applyAlignment="1">
      <alignment horizontal="left"/>
    </xf>
    <xf numFmtId="0" fontId="3" fillId="3" borderId="0" xfId="0" applyFont="1" applyFill="1"/>
    <xf numFmtId="10" fontId="3" fillId="3" borderId="0" xfId="2" applyNumberFormat="1" applyFont="1" applyFill="1"/>
    <xf numFmtId="10" fontId="3" fillId="3" borderId="0" xfId="2" applyNumberFormat="1" applyFont="1" applyFill="1" applyBorder="1"/>
    <xf numFmtId="5" fontId="3" fillId="3" borderId="0" xfId="0" applyNumberFormat="1" applyFont="1" applyFill="1" applyBorder="1" applyAlignment="1">
      <alignment horizontal="center"/>
    </xf>
    <xf numFmtId="0" fontId="3" fillId="3" borderId="0" xfId="0" applyFont="1" applyFill="1" applyAlignment="1">
      <alignment horizontal="left"/>
    </xf>
    <xf numFmtId="165" fontId="0" fillId="3" borderId="0" xfId="0" applyNumberFormat="1" applyFont="1" applyFill="1"/>
    <xf numFmtId="0" fontId="0" fillId="0" borderId="0" xfId="0" applyFont="1" applyFill="1" applyBorder="1" applyProtection="1">
      <protection locked="0"/>
    </xf>
    <xf numFmtId="44" fontId="0" fillId="0" borderId="11" xfId="1" applyFont="1" applyFill="1" applyBorder="1"/>
    <xf numFmtId="0" fontId="10" fillId="3" borderId="0" xfId="0" applyFont="1" applyFill="1" applyBorder="1"/>
    <xf numFmtId="0" fontId="10" fillId="3" borderId="0" xfId="0" applyFont="1" applyFill="1"/>
    <xf numFmtId="164" fontId="10" fillId="3" borderId="0" xfId="0" applyNumberFormat="1" applyFont="1" applyFill="1" applyBorder="1"/>
    <xf numFmtId="0" fontId="2" fillId="3" borderId="0" xfId="0" applyFont="1" applyFill="1"/>
    <xf numFmtId="0" fontId="0" fillId="0" borderId="7" xfId="0" applyFont="1" applyFill="1" applyBorder="1" applyProtection="1">
      <protection locked="0"/>
    </xf>
    <xf numFmtId="0" fontId="12" fillId="0" borderId="1" xfId="0" applyFont="1" applyFill="1" applyBorder="1" applyAlignment="1">
      <alignment horizontal="left"/>
    </xf>
    <xf numFmtId="0" fontId="13" fillId="0" borderId="2" xfId="0" applyFont="1" applyFill="1" applyBorder="1" applyAlignment="1">
      <alignment horizontal="center" wrapText="1"/>
    </xf>
    <xf numFmtId="0" fontId="13" fillId="0" borderId="3" xfId="0" applyFont="1" applyFill="1" applyBorder="1" applyAlignment="1">
      <alignment horizontal="center" wrapText="1"/>
    </xf>
    <xf numFmtId="0" fontId="13" fillId="0" borderId="4" xfId="0" applyFont="1" applyFill="1" applyBorder="1"/>
    <xf numFmtId="164" fontId="13" fillId="0" borderId="0" xfId="0" applyNumberFormat="1" applyFont="1" applyFill="1" applyBorder="1" applyAlignment="1">
      <alignment horizontal="center"/>
    </xf>
    <xf numFmtId="165" fontId="13" fillId="0" borderId="0" xfId="0" applyNumberFormat="1" applyFont="1" applyFill="1" applyBorder="1" applyAlignment="1">
      <alignment horizontal="center"/>
    </xf>
    <xf numFmtId="164" fontId="13" fillId="0" borderId="5" xfId="0" applyNumberFormat="1" applyFont="1" applyFill="1" applyBorder="1" applyAlignment="1">
      <alignment horizontal="center"/>
    </xf>
    <xf numFmtId="0" fontId="13" fillId="0" borderId="4" xfId="0" applyFont="1" applyFill="1" applyBorder="1" applyAlignment="1">
      <alignment wrapText="1"/>
    </xf>
    <xf numFmtId="0" fontId="13" fillId="5" borderId="4" xfId="0" applyFont="1" applyFill="1" applyBorder="1" applyAlignment="1" applyProtection="1">
      <alignment horizontal="right"/>
      <protection locked="0"/>
    </xf>
    <xf numFmtId="44" fontId="13" fillId="0" borderId="0" xfId="1" applyFont="1" applyFill="1" applyBorder="1" applyAlignment="1" applyProtection="1">
      <alignment horizontal="center"/>
      <protection locked="0"/>
    </xf>
    <xf numFmtId="44" fontId="13" fillId="0" borderId="5" xfId="1" applyFont="1" applyFill="1" applyBorder="1" applyAlignment="1" applyProtection="1">
      <alignment horizontal="center"/>
      <protection locked="0"/>
    </xf>
    <xf numFmtId="0" fontId="11" fillId="3" borderId="0" xfId="0" applyFont="1" applyFill="1" applyBorder="1"/>
    <xf numFmtId="164" fontId="10" fillId="3" borderId="0" xfId="0" applyNumberFormat="1" applyFont="1" applyFill="1" applyBorder="1" applyAlignment="1">
      <alignment horizontal="center"/>
    </xf>
    <xf numFmtId="168" fontId="10" fillId="3" borderId="0" xfId="0" applyNumberFormat="1" applyFont="1" applyFill="1" applyBorder="1" applyAlignment="1">
      <alignment horizontal="center"/>
    </xf>
    <xf numFmtId="0" fontId="13" fillId="0" borderId="39" xfId="0" applyFont="1" applyFill="1" applyBorder="1" applyAlignment="1">
      <alignment horizontal="left"/>
    </xf>
    <xf numFmtId="0" fontId="13" fillId="0" borderId="16" xfId="0" applyFont="1" applyFill="1" applyBorder="1" applyAlignment="1">
      <alignment horizontal="center"/>
    </xf>
    <xf numFmtId="0" fontId="13" fillId="3" borderId="0" xfId="0" applyFont="1" applyFill="1" applyBorder="1"/>
    <xf numFmtId="168" fontId="6" fillId="3" borderId="0" xfId="0" applyNumberFormat="1" applyFont="1" applyFill="1" applyBorder="1" applyAlignment="1">
      <alignment horizontal="center"/>
    </xf>
    <xf numFmtId="167" fontId="13" fillId="3" borderId="0" xfId="0" applyNumberFormat="1" applyFont="1" applyFill="1" applyBorder="1" applyAlignment="1">
      <alignment horizontal="center"/>
    </xf>
    <xf numFmtId="167" fontId="13" fillId="3" borderId="0" xfId="2" applyNumberFormat="1" applyFont="1" applyFill="1" applyBorder="1" applyAlignment="1">
      <alignment horizontal="center"/>
    </xf>
    <xf numFmtId="0" fontId="13" fillId="0" borderId="4" xfId="0" applyFont="1" applyFill="1" applyBorder="1" applyAlignment="1">
      <alignment horizontal="left"/>
    </xf>
    <xf numFmtId="0" fontId="13" fillId="0" borderId="0" xfId="0" applyFont="1" applyFill="1" applyBorder="1" applyAlignment="1">
      <alignment horizontal="center"/>
    </xf>
    <xf numFmtId="0" fontId="13" fillId="0" borderId="4" xfId="0" applyFont="1" applyFill="1" applyBorder="1" applyAlignment="1">
      <alignment horizontal="right"/>
    </xf>
    <xf numFmtId="1" fontId="13" fillId="0" borderId="0" xfId="0" applyNumberFormat="1" applyFont="1" applyFill="1" applyBorder="1" applyAlignment="1">
      <alignment horizontal="center"/>
    </xf>
    <xf numFmtId="0" fontId="0" fillId="0" borderId="5" xfId="0" applyFont="1" applyFill="1" applyBorder="1"/>
    <xf numFmtId="0" fontId="0" fillId="0" borderId="7" xfId="0" applyFont="1" applyFill="1" applyBorder="1"/>
    <xf numFmtId="0" fontId="0" fillId="0" borderId="8" xfId="0" applyFont="1" applyFill="1" applyBorder="1"/>
    <xf numFmtId="0" fontId="5" fillId="3" borderId="0" xfId="0" applyFont="1" applyFill="1"/>
    <xf numFmtId="0" fontId="5" fillId="3" borderId="35" xfId="0" applyFont="1" applyFill="1" applyBorder="1"/>
    <xf numFmtId="0" fontId="5" fillId="3" borderId="0" xfId="0" applyFont="1" applyFill="1" applyAlignment="1">
      <alignment horizontal="right"/>
    </xf>
    <xf numFmtId="0" fontId="5" fillId="0" borderId="4" xfId="0" applyFont="1" applyFill="1" applyBorder="1"/>
    <xf numFmtId="0" fontId="0" fillId="3" borderId="0" xfId="0" applyFont="1" applyFill="1" applyAlignment="1">
      <alignment horizontal="right"/>
    </xf>
    <xf numFmtId="44" fontId="13" fillId="0" borderId="0" xfId="1" applyFont="1" applyFill="1" applyBorder="1" applyAlignment="1">
      <alignment horizontal="center"/>
    </xf>
    <xf numFmtId="44" fontId="6" fillId="0" borderId="0" xfId="1" applyFont="1" applyFill="1" applyBorder="1" applyAlignment="1">
      <alignment horizontal="center"/>
    </xf>
    <xf numFmtId="44" fontId="13" fillId="0" borderId="5" xfId="1" applyFont="1" applyFill="1" applyBorder="1" applyAlignment="1">
      <alignment horizontal="center"/>
    </xf>
    <xf numFmtId="44" fontId="13" fillId="0" borderId="16" xfId="1" applyFont="1" applyFill="1" applyBorder="1" applyAlignment="1">
      <alignment horizontal="center"/>
    </xf>
    <xf numFmtId="44" fontId="13" fillId="0" borderId="40" xfId="1" applyFont="1" applyFill="1" applyBorder="1" applyAlignment="1">
      <alignment horizontal="center"/>
    </xf>
    <xf numFmtId="0" fontId="13" fillId="0" borderId="6" xfId="0" applyFont="1" applyFill="1" applyBorder="1" applyAlignment="1">
      <alignment horizontal="left"/>
    </xf>
    <xf numFmtId="5" fontId="13" fillId="0" borderId="7" xfId="0" applyNumberFormat="1" applyFont="1" applyFill="1" applyBorder="1" applyAlignment="1">
      <alignment horizontal="center"/>
    </xf>
    <xf numFmtId="0" fontId="13" fillId="0" borderId="7" xfId="0" applyFont="1" applyFill="1" applyBorder="1" applyAlignment="1">
      <alignment horizontal="center"/>
    </xf>
    <xf numFmtId="0" fontId="13" fillId="0" borderId="7" xfId="0" applyFont="1" applyFill="1" applyBorder="1"/>
    <xf numFmtId="0" fontId="13" fillId="0" borderId="0" xfId="0" applyFont="1" applyFill="1" applyBorder="1"/>
    <xf numFmtId="44" fontId="0" fillId="0" borderId="0" xfId="1" applyFont="1" applyFill="1" applyBorder="1"/>
    <xf numFmtId="44" fontId="0" fillId="0" borderId="5" xfId="1" applyFont="1" applyFill="1" applyBorder="1"/>
    <xf numFmtId="0" fontId="13" fillId="0" borderId="24" xfId="0" applyFont="1" applyFill="1" applyBorder="1"/>
    <xf numFmtId="0" fontId="13" fillId="0" borderId="5" xfId="0" applyFont="1" applyFill="1" applyBorder="1"/>
    <xf numFmtId="0" fontId="13" fillId="0" borderId="6" xfId="0" applyFont="1" applyFill="1" applyBorder="1"/>
    <xf numFmtId="44" fontId="0" fillId="0" borderId="0" xfId="0" applyNumberFormat="1" applyFont="1" applyFill="1" applyBorder="1"/>
    <xf numFmtId="44" fontId="0" fillId="0" borderId="13" xfId="0" applyNumberFormat="1" applyFont="1" applyFill="1" applyBorder="1"/>
    <xf numFmtId="44" fontId="0" fillId="0" borderId="22" xfId="0" applyNumberFormat="1" applyFont="1" applyFill="1" applyBorder="1"/>
    <xf numFmtId="44" fontId="0" fillId="0" borderId="7" xfId="0" applyNumberFormat="1" applyFont="1" applyFill="1" applyBorder="1"/>
    <xf numFmtId="0" fontId="17" fillId="0" borderId="18" xfId="0" applyFont="1" applyFill="1" applyBorder="1"/>
    <xf numFmtId="0" fontId="17" fillId="0" borderId="19" xfId="0" applyFont="1" applyFill="1" applyBorder="1"/>
    <xf numFmtId="0" fontId="17" fillId="0" borderId="20" xfId="0" applyFont="1" applyFill="1" applyBorder="1"/>
    <xf numFmtId="44" fontId="17" fillId="0" borderId="21" xfId="0" applyNumberFormat="1" applyFont="1" applyFill="1" applyBorder="1"/>
    <xf numFmtId="0" fontId="17" fillId="0" borderId="0" xfId="0" applyFont="1" applyFill="1"/>
    <xf numFmtId="44" fontId="0" fillId="0" borderId="0" xfId="0" applyNumberFormat="1" applyFont="1" applyFill="1"/>
    <xf numFmtId="0" fontId="17" fillId="0" borderId="21" xfId="0" applyFont="1" applyFill="1" applyBorder="1"/>
    <xf numFmtId="0" fontId="17" fillId="0" borderId="0" xfId="0" applyFont="1" applyFill="1" applyBorder="1"/>
    <xf numFmtId="44" fontId="17" fillId="0" borderId="20" xfId="0" applyNumberFormat="1" applyFont="1" applyFill="1" applyBorder="1"/>
    <xf numFmtId="44" fontId="17" fillId="0" borderId="19" xfId="0" applyNumberFormat="1" applyFont="1" applyFill="1" applyBorder="1"/>
    <xf numFmtId="0" fontId="17" fillId="0" borderId="22" xfId="0" applyFont="1" applyFill="1" applyBorder="1"/>
    <xf numFmtId="0" fontId="5" fillId="0" borderId="44" xfId="0" applyFont="1" applyFill="1" applyBorder="1"/>
    <xf numFmtId="44" fontId="5" fillId="3" borderId="11" xfId="0" applyNumberFormat="1" applyFont="1" applyFill="1" applyBorder="1"/>
    <xf numFmtId="0" fontId="0" fillId="0" borderId="1" xfId="0" applyFont="1" applyFill="1" applyBorder="1"/>
    <xf numFmtId="0" fontId="0" fillId="0" borderId="28" xfId="0" applyFont="1" applyFill="1" applyBorder="1" applyAlignment="1">
      <alignment horizontal="center" vertical="center"/>
    </xf>
    <xf numFmtId="0" fontId="0" fillId="0" borderId="28" xfId="0" applyFont="1" applyFill="1" applyBorder="1"/>
    <xf numFmtId="0" fontId="0" fillId="0" borderId="28" xfId="0" applyFont="1" applyFill="1" applyBorder="1" applyAlignment="1">
      <alignment horizontal="left" vertical="center"/>
    </xf>
    <xf numFmtId="44" fontId="0" fillId="0" borderId="28" xfId="0" applyNumberFormat="1" applyFont="1" applyFill="1" applyBorder="1"/>
    <xf numFmtId="44" fontId="0" fillId="0" borderId="28" xfId="0" applyNumberFormat="1" applyFont="1" applyFill="1" applyBorder="1" applyAlignment="1">
      <alignment vertical="center"/>
    </xf>
    <xf numFmtId="0" fontId="0" fillId="0" borderId="13" xfId="0" applyFont="1" applyFill="1" applyBorder="1"/>
    <xf numFmtId="0" fontId="0" fillId="0" borderId="28" xfId="0" applyFont="1" applyFill="1" applyBorder="1" applyAlignment="1">
      <alignment horizontal="left"/>
    </xf>
    <xf numFmtId="0" fontId="0" fillId="0" borderId="2" xfId="0" applyFont="1" applyFill="1" applyBorder="1"/>
    <xf numFmtId="44" fontId="0" fillId="0" borderId="2" xfId="0" applyNumberFormat="1" applyFont="1" applyFill="1" applyBorder="1"/>
    <xf numFmtId="0" fontId="0" fillId="0" borderId="27" xfId="0" applyFont="1" applyFill="1" applyBorder="1"/>
    <xf numFmtId="44" fontId="0" fillId="0" borderId="21" xfId="1" applyFont="1" applyFill="1" applyBorder="1"/>
    <xf numFmtId="0" fontId="5" fillId="0" borderId="2" xfId="0" applyFont="1" applyFill="1" applyBorder="1"/>
    <xf numFmtId="0" fontId="5" fillId="0" borderId="3" xfId="0" applyFont="1" applyFill="1" applyBorder="1"/>
    <xf numFmtId="0" fontId="13" fillId="0" borderId="2" xfId="0" applyFont="1" applyFill="1" applyBorder="1"/>
    <xf numFmtId="0" fontId="13" fillId="3" borderId="0" xfId="0" applyFont="1" applyFill="1"/>
    <xf numFmtId="167" fontId="19" fillId="3" borderId="0" xfId="0" applyNumberFormat="1" applyFont="1" applyFill="1"/>
    <xf numFmtId="0" fontId="5" fillId="0" borderId="15" xfId="0" applyFont="1" applyFill="1" applyBorder="1"/>
    <xf numFmtId="0" fontId="5" fillId="0" borderId="16" xfId="0" applyFont="1" applyFill="1" applyBorder="1"/>
    <xf numFmtId="0" fontId="5" fillId="0" borderId="26" xfId="0" applyFont="1" applyFill="1" applyBorder="1"/>
    <xf numFmtId="44" fontId="0" fillId="0" borderId="27" xfId="1" applyFont="1" applyFill="1" applyBorder="1"/>
    <xf numFmtId="0" fontId="0" fillId="0" borderId="9" xfId="0" applyFont="1" applyFill="1" applyBorder="1"/>
    <xf numFmtId="0" fontId="0" fillId="0" borderId="10" xfId="0" applyFont="1" applyFill="1" applyBorder="1"/>
    <xf numFmtId="0" fontId="0" fillId="0" borderId="11" xfId="0" applyFont="1" applyFill="1" applyBorder="1"/>
    <xf numFmtId="164" fontId="0" fillId="0" borderId="2" xfId="0" applyNumberFormat="1" applyFont="1" applyFill="1" applyBorder="1"/>
    <xf numFmtId="164" fontId="0" fillId="0" borderId="0" xfId="0" applyNumberFormat="1" applyFont="1" applyFill="1" applyBorder="1"/>
    <xf numFmtId="167" fontId="0" fillId="0" borderId="7" xfId="0" applyNumberFormat="1" applyFont="1" applyFill="1" applyBorder="1"/>
    <xf numFmtId="167" fontId="0" fillId="0" borderId="2" xfId="0" applyNumberFormat="1" applyFont="1" applyFill="1" applyBorder="1"/>
    <xf numFmtId="6" fontId="0" fillId="0" borderId="7" xfId="0" applyNumberFormat="1" applyFont="1" applyFill="1" applyBorder="1"/>
    <xf numFmtId="0" fontId="0" fillId="0" borderId="9" xfId="0" applyFont="1" applyFill="1" applyBorder="1" applyAlignment="1">
      <alignment horizontal="center" vertical="center"/>
    </xf>
    <xf numFmtId="167" fontId="0" fillId="0" borderId="10" xfId="0" applyNumberFormat="1" applyFont="1" applyFill="1" applyBorder="1"/>
    <xf numFmtId="167" fontId="0" fillId="0" borderId="0" xfId="0" applyNumberFormat="1" applyFont="1" applyFill="1" applyBorder="1"/>
    <xf numFmtId="164" fontId="0" fillId="0" borderId="7" xfId="0" applyNumberFormat="1" applyFont="1" applyFill="1" applyBorder="1"/>
    <xf numFmtId="0" fontId="19" fillId="0" borderId="31" xfId="0" applyFont="1" applyFill="1" applyBorder="1"/>
    <xf numFmtId="0" fontId="19" fillId="0" borderId="32" xfId="0" applyFont="1" applyFill="1" applyBorder="1" applyAlignment="1">
      <alignment horizontal="center" vertical="center"/>
    </xf>
    <xf numFmtId="164" fontId="13" fillId="0" borderId="27" xfId="0" applyNumberFormat="1" applyFont="1" applyFill="1" applyBorder="1" applyAlignment="1">
      <alignment horizontal="right"/>
    </xf>
    <xf numFmtId="21" fontId="13" fillId="0" borderId="4" xfId="0" applyNumberFormat="1" applyFont="1" applyFill="1" applyBorder="1" applyAlignment="1">
      <alignment horizontal="left"/>
    </xf>
    <xf numFmtId="167" fontId="13" fillId="0" borderId="27" xfId="0" applyNumberFormat="1" applyFont="1" applyFill="1" applyBorder="1" applyAlignment="1">
      <alignment horizontal="right"/>
    </xf>
    <xf numFmtId="167" fontId="13" fillId="0" borderId="27" xfId="0" applyNumberFormat="1" applyFont="1" applyFill="1" applyBorder="1"/>
    <xf numFmtId="6" fontId="13" fillId="0" borderId="29" xfId="0" applyNumberFormat="1" applyFont="1" applyFill="1" applyBorder="1"/>
    <xf numFmtId="0" fontId="13" fillId="0" borderId="28" xfId="0" applyFont="1" applyFill="1" applyBorder="1" applyAlignment="1">
      <alignment horizontal="right"/>
    </xf>
    <xf numFmtId="0" fontId="13" fillId="0" borderId="28" xfId="0" applyFont="1" applyFill="1" applyBorder="1" applyAlignment="1">
      <alignment horizontal="center" wrapText="1"/>
    </xf>
    <xf numFmtId="0" fontId="13" fillId="0" borderId="33" xfId="0" applyFont="1" applyFill="1" applyBorder="1" applyAlignment="1">
      <alignment horizontal="center" wrapText="1"/>
    </xf>
    <xf numFmtId="0" fontId="10" fillId="3" borderId="0" xfId="0" applyFont="1" applyFill="1" applyBorder="1" applyAlignment="1">
      <alignment horizontal="center"/>
    </xf>
    <xf numFmtId="0" fontId="10" fillId="3" borderId="0" xfId="0" applyFont="1" applyFill="1" applyAlignment="1">
      <alignment horizontal="center"/>
    </xf>
    <xf numFmtId="0" fontId="19" fillId="0" borderId="0" xfId="0" applyFont="1" applyFill="1" applyBorder="1"/>
    <xf numFmtId="0" fontId="13" fillId="0" borderId="5" xfId="0" applyFont="1" applyFill="1" applyBorder="1" applyAlignment="1">
      <alignment horizontal="center"/>
    </xf>
    <xf numFmtId="164" fontId="10" fillId="3" borderId="0" xfId="0" applyNumberFormat="1" applyFont="1" applyFill="1" applyAlignment="1">
      <alignment horizontal="center"/>
    </xf>
    <xf numFmtId="0" fontId="10" fillId="3" borderId="0" xfId="0" applyFont="1" applyFill="1" applyBorder="1" applyAlignment="1">
      <alignment wrapText="1"/>
    </xf>
    <xf numFmtId="0" fontId="13" fillId="0" borderId="0" xfId="0" applyFont="1" applyFill="1" applyBorder="1" applyAlignment="1">
      <alignment wrapText="1"/>
    </xf>
    <xf numFmtId="0" fontId="19" fillId="0" borderId="7" xfId="0" applyFont="1" applyFill="1" applyBorder="1"/>
    <xf numFmtId="0" fontId="20" fillId="0" borderId="0" xfId="0" applyFont="1" applyFill="1" applyBorder="1"/>
    <xf numFmtId="14" fontId="10" fillId="3" borderId="0" xfId="0" applyNumberFormat="1" applyFont="1" applyFill="1" applyBorder="1"/>
    <xf numFmtId="0" fontId="13" fillId="3" borderId="0" xfId="0" applyFont="1" applyFill="1" applyAlignment="1">
      <alignment horizontal="center"/>
    </xf>
    <xf numFmtId="0" fontId="19" fillId="0" borderId="4" xfId="0" applyFont="1" applyFill="1" applyBorder="1"/>
    <xf numFmtId="164" fontId="10" fillId="3" borderId="0" xfId="0" applyNumberFormat="1" applyFont="1" applyFill="1"/>
    <xf numFmtId="0" fontId="5" fillId="0" borderId="31" xfId="0" applyFont="1" applyFill="1" applyBorder="1"/>
    <xf numFmtId="0" fontId="5" fillId="0" borderId="28" xfId="0" applyFont="1" applyFill="1" applyBorder="1"/>
    <xf numFmtId="0" fontId="5" fillId="0" borderId="9" xfId="0" applyFont="1" applyFill="1" applyBorder="1"/>
    <xf numFmtId="0" fontId="5" fillId="0" borderId="10" xfId="0" applyFont="1" applyFill="1" applyBorder="1"/>
    <xf numFmtId="0" fontId="5" fillId="0" borderId="11" xfId="0" applyFont="1" applyFill="1" applyBorder="1"/>
    <xf numFmtId="0" fontId="13" fillId="0" borderId="22" xfId="0" applyFont="1" applyFill="1" applyBorder="1"/>
    <xf numFmtId="0" fontId="13" fillId="0" borderId="13" xfId="0" applyFont="1" applyFill="1" applyBorder="1"/>
    <xf numFmtId="0" fontId="5" fillId="3" borderId="9" xfId="0" applyFont="1" applyFill="1" applyBorder="1"/>
    <xf numFmtId="0" fontId="5" fillId="0" borderId="40" xfId="0" applyFont="1" applyFill="1" applyBorder="1"/>
    <xf numFmtId="0" fontId="0" fillId="0" borderId="6" xfId="0" applyFont="1" applyFill="1" applyBorder="1"/>
    <xf numFmtId="0" fontId="0" fillId="0" borderId="29" xfId="0" applyFont="1" applyFill="1" applyBorder="1"/>
    <xf numFmtId="44" fontId="0" fillId="0" borderId="30" xfId="1" applyFont="1" applyFill="1" applyBorder="1"/>
    <xf numFmtId="44" fontId="0" fillId="0" borderId="29" xfId="1" applyFont="1" applyFill="1" applyBorder="1"/>
    <xf numFmtId="0" fontId="19" fillId="0" borderId="33" xfId="0" applyFont="1" applyFill="1" applyBorder="1" applyAlignment="1">
      <alignment horizontal="center" vertical="center"/>
    </xf>
    <xf numFmtId="0" fontId="13" fillId="0" borderId="8" xfId="0" applyFont="1" applyFill="1" applyBorder="1"/>
    <xf numFmtId="0" fontId="19" fillId="0" borderId="10" xfId="0" applyFont="1" applyFill="1" applyBorder="1" applyAlignment="1"/>
    <xf numFmtId="0" fontId="19" fillId="0" borderId="10" xfId="0" applyFont="1" applyFill="1" applyBorder="1" applyAlignment="1">
      <alignment horizontal="center"/>
    </xf>
    <xf numFmtId="0" fontId="19" fillId="0" borderId="6" xfId="0" applyFont="1" applyFill="1" applyBorder="1"/>
    <xf numFmtId="166" fontId="0" fillId="0" borderId="0" xfId="1" applyNumberFormat="1" applyFont="1" applyFill="1" applyBorder="1" applyAlignment="1">
      <alignment horizontal="right"/>
    </xf>
    <xf numFmtId="164" fontId="0" fillId="0" borderId="0" xfId="1" applyNumberFormat="1" applyFont="1" applyFill="1" applyBorder="1" applyProtection="1">
      <protection locked="0"/>
    </xf>
    <xf numFmtId="164" fontId="0" fillId="0" borderId="7" xfId="1" applyNumberFormat="1" applyFont="1" applyFill="1" applyBorder="1" applyProtection="1">
      <protection locked="0"/>
    </xf>
    <xf numFmtId="167" fontId="13" fillId="3" borderId="0" xfId="0" applyNumberFormat="1" applyFont="1" applyFill="1" applyAlignment="1">
      <alignment horizontal="center"/>
    </xf>
    <xf numFmtId="167" fontId="13" fillId="3" borderId="0" xfId="2" applyNumberFormat="1" applyFont="1" applyFill="1" applyAlignment="1">
      <alignment horizontal="center"/>
    </xf>
    <xf numFmtId="10" fontId="13" fillId="3" borderId="0" xfId="2" applyNumberFormat="1" applyFont="1" applyFill="1"/>
    <xf numFmtId="10" fontId="13" fillId="3" borderId="0" xfId="2" applyNumberFormat="1" applyFont="1" applyFill="1" applyBorder="1"/>
    <xf numFmtId="0" fontId="21" fillId="0" borderId="4" xfId="0" applyFont="1" applyFill="1" applyBorder="1" applyAlignment="1">
      <alignment horizontal="left"/>
    </xf>
    <xf numFmtId="0" fontId="0" fillId="0" borderId="41" xfId="0" applyFont="1" applyFill="1" applyBorder="1" applyAlignment="1">
      <alignment horizontal="center"/>
    </xf>
    <xf numFmtId="0" fontId="0" fillId="0" borderId="42" xfId="0" applyFont="1" applyFill="1" applyBorder="1" applyAlignment="1">
      <alignment horizontal="center"/>
    </xf>
    <xf numFmtId="0" fontId="0" fillId="0" borderId="23" xfId="0" applyFont="1" applyFill="1" applyBorder="1" applyAlignment="1">
      <alignment horizontal="center"/>
    </xf>
    <xf numFmtId="0" fontId="0" fillId="0" borderId="22" xfId="0" applyFont="1" applyFill="1" applyBorder="1" applyAlignment="1">
      <alignment horizontal="center"/>
    </xf>
    <xf numFmtId="0" fontId="0" fillId="0" borderId="25" xfId="0" applyFont="1" applyFill="1" applyBorder="1" applyAlignment="1">
      <alignment horizontal="center"/>
    </xf>
    <xf numFmtId="0" fontId="19" fillId="0" borderId="4" xfId="0" applyFont="1" applyFill="1" applyBorder="1" applyAlignment="1">
      <alignment horizontal="left"/>
    </xf>
    <xf numFmtId="42" fontId="0" fillId="0" borderId="41" xfId="1" applyNumberFormat="1" applyFont="1" applyFill="1" applyBorder="1"/>
    <xf numFmtId="42" fontId="0" fillId="0" borderId="0" xfId="1" applyNumberFormat="1" applyFont="1" applyFill="1" applyBorder="1"/>
    <xf numFmtId="42" fontId="0" fillId="0" borderId="5" xfId="1" applyNumberFormat="1" applyFont="1" applyFill="1" applyBorder="1"/>
    <xf numFmtId="42" fontId="0" fillId="0" borderId="43" xfId="1" applyNumberFormat="1" applyFont="1" applyFill="1" applyBorder="1"/>
    <xf numFmtId="42" fontId="0" fillId="0" borderId="7" xfId="1" applyNumberFormat="1" applyFont="1" applyFill="1" applyBorder="1"/>
    <xf numFmtId="42" fontId="0" fillId="0" borderId="8" xfId="1" applyNumberFormat="1" applyFont="1" applyFill="1" applyBorder="1"/>
    <xf numFmtId="0" fontId="0" fillId="0" borderId="24" xfId="0" applyFont="1" applyFill="1" applyBorder="1"/>
    <xf numFmtId="0" fontId="9" fillId="0" borderId="6" xfId="0" applyFont="1" applyFill="1" applyBorder="1"/>
    <xf numFmtId="0" fontId="13" fillId="0" borderId="34" xfId="0" applyFont="1" applyFill="1" applyBorder="1" applyAlignment="1">
      <alignment horizontal="left"/>
    </xf>
    <xf numFmtId="0" fontId="12" fillId="0" borderId="6" xfId="0" applyFont="1" applyFill="1" applyBorder="1"/>
    <xf numFmtId="0" fontId="0" fillId="3" borderId="0" xfId="0" applyFont="1" applyFill="1" applyAlignment="1">
      <alignment horizontal="center"/>
    </xf>
    <xf numFmtId="0" fontId="15" fillId="3" borderId="0" xfId="3" applyFont="1" applyFill="1"/>
    <xf numFmtId="0" fontId="8" fillId="3" borderId="0" xfId="0" applyFont="1" applyFill="1"/>
    <xf numFmtId="9" fontId="10" fillId="3" borderId="0" xfId="2" applyFont="1" applyFill="1" applyBorder="1" applyProtection="1">
      <protection locked="0"/>
    </xf>
    <xf numFmtId="9" fontId="10" fillId="3" borderId="0" xfId="2" applyFont="1" applyFill="1"/>
    <xf numFmtId="42" fontId="10" fillId="3" borderId="0" xfId="0" applyNumberFormat="1" applyFont="1" applyFill="1"/>
    <xf numFmtId="42" fontId="10" fillId="3" borderId="0" xfId="1" applyNumberFormat="1" applyFont="1" applyFill="1"/>
    <xf numFmtId="0" fontId="2" fillId="3" borderId="1" xfId="0" applyFont="1" applyFill="1" applyBorder="1"/>
    <xf numFmtId="0" fontId="0" fillId="3" borderId="2" xfId="0" applyFont="1" applyFill="1" applyBorder="1"/>
    <xf numFmtId="0" fontId="0" fillId="3" borderId="3" xfId="0" applyFont="1" applyFill="1" applyBorder="1"/>
    <xf numFmtId="9" fontId="0" fillId="0" borderId="0" xfId="2" applyFont="1" applyFill="1" applyBorder="1"/>
    <xf numFmtId="9" fontId="0" fillId="0" borderId="5" xfId="2" applyFont="1" applyFill="1" applyBorder="1"/>
    <xf numFmtId="42" fontId="0" fillId="0" borderId="0" xfId="0" applyNumberFormat="1" applyFont="1" applyFill="1" applyBorder="1"/>
    <xf numFmtId="42" fontId="0" fillId="0" borderId="5" xfId="0" applyNumberFormat="1" applyFont="1" applyFill="1" applyBorder="1"/>
    <xf numFmtId="42" fontId="0" fillId="0" borderId="7" xfId="0" applyNumberFormat="1" applyFont="1" applyFill="1" applyBorder="1"/>
    <xf numFmtId="42" fontId="0" fillId="0" borderId="8" xfId="0" applyNumberFormat="1" applyFont="1" applyFill="1" applyBorder="1"/>
    <xf numFmtId="0" fontId="0" fillId="0" borderId="0" xfId="0" applyFont="1" applyFill="1" applyBorder="1" applyAlignment="1">
      <alignment horizontal="center"/>
    </xf>
    <xf numFmtId="42" fontId="10" fillId="3" borderId="0" xfId="0" applyNumberFormat="1" applyFont="1" applyFill="1" applyBorder="1"/>
    <xf numFmtId="44" fontId="13" fillId="0" borderId="0" xfId="1" applyFont="1" applyFill="1" applyBorder="1" applyAlignment="1">
      <alignment horizontal="right"/>
    </xf>
    <xf numFmtId="1" fontId="13" fillId="0" borderId="0" xfId="0" applyNumberFormat="1" applyFont="1" applyFill="1" applyBorder="1" applyAlignment="1">
      <alignment horizontal="right"/>
    </xf>
    <xf numFmtId="164" fontId="13" fillId="0" borderId="0" xfId="0" applyNumberFormat="1" applyFont="1" applyFill="1" applyBorder="1" applyAlignment="1">
      <alignment horizontal="right"/>
    </xf>
    <xf numFmtId="44" fontId="0" fillId="0" borderId="0" xfId="1" applyFont="1" applyFill="1" applyBorder="1" applyAlignment="1">
      <alignment horizontal="right"/>
    </xf>
    <xf numFmtId="173" fontId="13" fillId="0" borderId="0" xfId="4" applyNumberFormat="1" applyFont="1" applyFill="1" applyBorder="1" applyAlignment="1">
      <alignment horizontal="right"/>
    </xf>
    <xf numFmtId="0" fontId="13" fillId="0" borderId="49" xfId="0" applyFont="1" applyFill="1" applyBorder="1"/>
    <xf numFmtId="0" fontId="19" fillId="0" borderId="49" xfId="0" applyFont="1" applyFill="1" applyBorder="1"/>
    <xf numFmtId="0" fontId="13" fillId="0" borderId="49" xfId="0" applyFont="1" applyFill="1" applyBorder="1" applyAlignment="1">
      <alignment horizontal="center"/>
    </xf>
    <xf numFmtId="44" fontId="13" fillId="0" borderId="7" xfId="1" applyFont="1" applyFill="1" applyBorder="1" applyAlignment="1">
      <alignment horizontal="center"/>
    </xf>
    <xf numFmtId="44" fontId="13" fillId="0" borderId="8" xfId="1" applyFont="1" applyFill="1" applyBorder="1" applyAlignment="1">
      <alignment horizontal="center"/>
    </xf>
    <xf numFmtId="49" fontId="0" fillId="0" borderId="4" xfId="0" applyNumberFormat="1" applyFont="1" applyFill="1" applyBorder="1" applyProtection="1">
      <protection locked="0"/>
    </xf>
    <xf numFmtId="49" fontId="0" fillId="0" borderId="6" xfId="0" applyNumberFormat="1" applyFont="1" applyFill="1" applyBorder="1" applyProtection="1">
      <protection locked="0"/>
    </xf>
    <xf numFmtId="0" fontId="0" fillId="3" borderId="0" xfId="0" applyFill="1" applyBorder="1"/>
    <xf numFmtId="2" fontId="10" fillId="3" borderId="0" xfId="0" applyNumberFormat="1" applyFont="1" applyFill="1"/>
    <xf numFmtId="2" fontId="10" fillId="3" borderId="0" xfId="2" applyNumberFormat="1" applyFont="1" applyFill="1"/>
    <xf numFmtId="42" fontId="9" fillId="12" borderId="8" xfId="0" applyNumberFormat="1" applyFont="1" applyFill="1" applyBorder="1"/>
    <xf numFmtId="0" fontId="5" fillId="12" borderId="22" xfId="0" applyFont="1" applyFill="1" applyBorder="1" applyAlignment="1">
      <alignment horizontal="center"/>
    </xf>
    <xf numFmtId="42" fontId="5" fillId="12" borderId="41" xfId="1" applyNumberFormat="1" applyFont="1" applyFill="1" applyBorder="1"/>
    <xf numFmtId="0" fontId="13" fillId="0" borderId="0" xfId="0" applyFont="1" applyFill="1" applyBorder="1" applyAlignment="1">
      <alignment horizontal="center"/>
    </xf>
    <xf numFmtId="0" fontId="0" fillId="3" borderId="1" xfId="0" applyFill="1" applyBorder="1"/>
    <xf numFmtId="0" fontId="0" fillId="3" borderId="2" xfId="0" applyFill="1" applyBorder="1"/>
    <xf numFmtId="0" fontId="0" fillId="3" borderId="3" xfId="0" applyFill="1" applyBorder="1"/>
    <xf numFmtId="0" fontId="0" fillId="3" borderId="4" xfId="0" applyFill="1" applyBorder="1"/>
    <xf numFmtId="0" fontId="0" fillId="3" borderId="5" xfId="0" applyFill="1" applyBorder="1"/>
    <xf numFmtId="0" fontId="0" fillId="3" borderId="6" xfId="0" applyFill="1" applyBorder="1"/>
    <xf numFmtId="0" fontId="0" fillId="3" borderId="7" xfId="0" applyFill="1" applyBorder="1"/>
    <xf numFmtId="0" fontId="0" fillId="3" borderId="8" xfId="0" applyFill="1" applyBorder="1"/>
    <xf numFmtId="0" fontId="19" fillId="0" borderId="51" xfId="0" applyFont="1" applyFill="1" applyBorder="1" applyAlignment="1"/>
    <xf numFmtId="3" fontId="13" fillId="0" borderId="0" xfId="0" applyNumberFormat="1" applyFont="1" applyFill="1" applyBorder="1" applyAlignment="1">
      <alignment horizontal="left"/>
    </xf>
    <xf numFmtId="0" fontId="13" fillId="0" borderId="29" xfId="0" applyFont="1" applyFill="1" applyBorder="1" applyAlignment="1">
      <alignment horizontal="center"/>
    </xf>
    <xf numFmtId="44" fontId="13" fillId="0" borderId="0" xfId="1" applyFont="1" applyFill="1" applyBorder="1" applyAlignment="1" applyProtection="1">
      <alignment horizontal="right"/>
      <protection locked="0"/>
    </xf>
    <xf numFmtId="0" fontId="0" fillId="3" borderId="53" xfId="0" applyFill="1" applyBorder="1"/>
    <xf numFmtId="0" fontId="19" fillId="0" borderId="52" xfId="0" applyFont="1" applyFill="1" applyBorder="1" applyAlignment="1"/>
    <xf numFmtId="44" fontId="13" fillId="0" borderId="54" xfId="1" applyFont="1" applyFill="1" applyBorder="1" applyAlignment="1">
      <alignment horizontal="center"/>
    </xf>
    <xf numFmtId="172" fontId="19" fillId="2" borderId="55" xfId="1" applyNumberFormat="1" applyFont="1" applyFill="1" applyBorder="1" applyAlignment="1">
      <alignment horizontal="center"/>
    </xf>
    <xf numFmtId="0" fontId="19" fillId="0" borderId="56" xfId="0" applyFont="1" applyFill="1" applyBorder="1" applyAlignment="1"/>
    <xf numFmtId="3" fontId="13" fillId="0" borderId="27" xfId="0" applyNumberFormat="1" applyFont="1" applyFill="1" applyBorder="1" applyAlignment="1">
      <alignment horizontal="right"/>
    </xf>
    <xf numFmtId="3" fontId="13" fillId="0" borderId="21" xfId="0" applyNumberFormat="1" applyFont="1" applyFill="1" applyBorder="1" applyAlignment="1">
      <alignment horizontal="left"/>
    </xf>
    <xf numFmtId="0" fontId="13" fillId="0" borderId="30" xfId="0" applyFont="1" applyFill="1" applyBorder="1" applyAlignment="1">
      <alignment horizontal="center"/>
    </xf>
    <xf numFmtId="0" fontId="0" fillId="0" borderId="0" xfId="0" applyFill="1" applyBorder="1"/>
    <xf numFmtId="0" fontId="19" fillId="3" borderId="0" xfId="0" applyFont="1" applyFill="1" applyBorder="1" applyAlignment="1"/>
    <xf numFmtId="0" fontId="19" fillId="0" borderId="9" xfId="0" applyFont="1" applyFill="1" applyBorder="1" applyAlignment="1"/>
    <xf numFmtId="0" fontId="0" fillId="0" borderId="10" xfId="0" applyFill="1" applyBorder="1"/>
    <xf numFmtId="0" fontId="13" fillId="0" borderId="27" xfId="0" applyFont="1" applyFill="1" applyBorder="1"/>
    <xf numFmtId="2" fontId="13" fillId="0" borderId="27" xfId="0" applyNumberFormat="1" applyFont="1" applyFill="1" applyBorder="1" applyAlignment="1" applyProtection="1">
      <alignment horizontal="left"/>
      <protection locked="0"/>
    </xf>
    <xf numFmtId="3" fontId="13" fillId="0" borderId="27" xfId="0" applyNumberFormat="1" applyFont="1" applyFill="1" applyBorder="1" applyAlignment="1" applyProtection="1">
      <alignment horizontal="left"/>
      <protection locked="0"/>
    </xf>
    <xf numFmtId="0" fontId="13" fillId="0" borderId="29" xfId="0" applyFont="1" applyFill="1" applyBorder="1"/>
    <xf numFmtId="0" fontId="0" fillId="0" borderId="27" xfId="0" applyFill="1" applyBorder="1"/>
    <xf numFmtId="0" fontId="0" fillId="0" borderId="52" xfId="0" applyFill="1" applyBorder="1"/>
    <xf numFmtId="0" fontId="13" fillId="0" borderId="54" xfId="0" applyFont="1" applyFill="1" applyBorder="1"/>
    <xf numFmtId="44" fontId="13" fillId="0" borderId="54" xfId="1" applyFont="1" applyFill="1" applyBorder="1"/>
    <xf numFmtId="0" fontId="13" fillId="0" borderId="55" xfId="0" applyFont="1" applyFill="1" applyBorder="1"/>
    <xf numFmtId="0" fontId="0" fillId="0" borderId="9" xfId="0" applyFont="1" applyFill="1" applyBorder="1" applyAlignment="1">
      <alignment horizontal="right"/>
    </xf>
    <xf numFmtId="0" fontId="0" fillId="0" borderId="10" xfId="0" applyFont="1" applyFill="1" applyBorder="1" applyAlignment="1">
      <alignment horizontal="center" wrapText="1"/>
    </xf>
    <xf numFmtId="0" fontId="0" fillId="0" borderId="11" xfId="0" applyFont="1" applyFill="1" applyBorder="1" applyAlignment="1">
      <alignment horizontal="center" wrapText="1"/>
    </xf>
    <xf numFmtId="0" fontId="5" fillId="3" borderId="0" xfId="0" applyFont="1" applyFill="1" applyBorder="1"/>
    <xf numFmtId="164" fontId="0" fillId="3" borderId="0" xfId="0" applyNumberFormat="1" applyFont="1" applyFill="1"/>
    <xf numFmtId="0" fontId="0" fillId="0" borderId="4" xfId="0" applyFont="1" applyFill="1" applyBorder="1" applyAlignment="1">
      <alignment wrapText="1"/>
    </xf>
    <xf numFmtId="0" fontId="0" fillId="0" borderId="50" xfId="0" applyFont="1" applyFill="1" applyBorder="1"/>
    <xf numFmtId="0" fontId="0" fillId="0" borderId="49" xfId="0" applyFont="1" applyFill="1" applyBorder="1" applyAlignment="1">
      <alignment horizontal="center"/>
    </xf>
    <xf numFmtId="0" fontId="5" fillId="0" borderId="6" xfId="0" applyFont="1" applyFill="1" applyBorder="1"/>
    <xf numFmtId="0" fontId="0" fillId="0" borderId="7" xfId="0" applyFont="1" applyFill="1" applyBorder="1" applyAlignment="1">
      <alignment horizontal="center"/>
    </xf>
    <xf numFmtId="169" fontId="0" fillId="0" borderId="7" xfId="0" applyNumberFormat="1" applyFont="1" applyFill="1" applyBorder="1" applyAlignment="1">
      <alignment horizontal="center"/>
    </xf>
    <xf numFmtId="167" fontId="0" fillId="3" borderId="0" xfId="0" applyNumberFormat="1" applyFont="1" applyFill="1"/>
    <xf numFmtId="170" fontId="0" fillId="3" borderId="0" xfId="0" applyNumberFormat="1" applyFont="1" applyFill="1"/>
    <xf numFmtId="171" fontId="0" fillId="3" borderId="0" xfId="0" applyNumberFormat="1" applyFont="1" applyFill="1"/>
    <xf numFmtId="164" fontId="11" fillId="3" borderId="0" xfId="0" applyNumberFormat="1" applyFont="1" applyFill="1" applyBorder="1"/>
    <xf numFmtId="44" fontId="5" fillId="3" borderId="0" xfId="1" applyFont="1" applyFill="1" applyBorder="1"/>
    <xf numFmtId="44" fontId="5" fillId="0" borderId="0" xfId="1" applyFont="1" applyFill="1" applyBorder="1"/>
    <xf numFmtId="0" fontId="5" fillId="3" borderId="0" xfId="0" applyFont="1" applyFill="1" applyBorder="1" applyAlignment="1">
      <alignment horizontal="center" vertical="center"/>
    </xf>
    <xf numFmtId="0" fontId="5" fillId="3" borderId="0" xfId="0" applyFont="1" applyFill="1" applyBorder="1" applyAlignment="1">
      <alignment horizontal="center"/>
    </xf>
    <xf numFmtId="0" fontId="8" fillId="3" borderId="5" xfId="0" applyFont="1" applyFill="1" applyBorder="1"/>
    <xf numFmtId="0" fontId="8" fillId="3" borderId="0" xfId="0" applyFont="1" applyFill="1" applyBorder="1"/>
    <xf numFmtId="44" fontId="0" fillId="3" borderId="0" xfId="0" applyNumberFormat="1" applyFill="1"/>
    <xf numFmtId="9" fontId="24" fillId="0" borderId="7" xfId="0" applyNumberFormat="1" applyFont="1" applyFill="1" applyBorder="1" applyProtection="1"/>
    <xf numFmtId="0" fontId="5" fillId="0" borderId="0" xfId="0" applyFont="1" applyFill="1" applyBorder="1" applyAlignment="1">
      <alignment horizontal="right"/>
    </xf>
    <xf numFmtId="0" fontId="8" fillId="3" borderId="0" xfId="0" applyFont="1" applyFill="1" applyBorder="1" applyAlignment="1">
      <alignment horizontal="center"/>
    </xf>
    <xf numFmtId="44" fontId="8" fillId="3" borderId="0" xfId="1" applyFont="1" applyFill="1" applyBorder="1" applyAlignment="1">
      <alignment horizontal="center"/>
    </xf>
    <xf numFmtId="169" fontId="5" fillId="0" borderId="0" xfId="0" applyNumberFormat="1" applyFont="1" applyFill="1" applyBorder="1" applyAlignment="1">
      <alignment horizontal="center"/>
    </xf>
    <xf numFmtId="0" fontId="0" fillId="3" borderId="0" xfId="0" applyFill="1" applyBorder="1" applyAlignment="1">
      <alignment horizontal="center"/>
    </xf>
    <xf numFmtId="0" fontId="19" fillId="0" borderId="4" xfId="0" applyFont="1" applyFill="1" applyBorder="1" applyAlignment="1"/>
    <xf numFmtId="0" fontId="0" fillId="0" borderId="27" xfId="0" applyFill="1" applyBorder="1" applyAlignment="1">
      <alignment horizontal="center"/>
    </xf>
    <xf numFmtId="0" fontId="0" fillId="0" borderId="0" xfId="0" applyFill="1" applyBorder="1" applyAlignment="1">
      <alignment horizontal="center"/>
    </xf>
    <xf numFmtId="0" fontId="0" fillId="0" borderId="54" xfId="0" applyFill="1" applyBorder="1"/>
    <xf numFmtId="0" fontId="13" fillId="0" borderId="0" xfId="0" applyFont="1" applyFill="1" applyBorder="1" applyAlignment="1">
      <alignment horizontal="left"/>
    </xf>
    <xf numFmtId="0" fontId="5" fillId="4" borderId="5" xfId="0" applyFont="1" applyFill="1" applyBorder="1" applyAlignment="1" applyProtection="1">
      <alignment horizontal="center" vertical="center"/>
      <protection locked="0"/>
    </xf>
    <xf numFmtId="42" fontId="5" fillId="4" borderId="5" xfId="1" applyNumberFormat="1" applyFont="1" applyFill="1" applyBorder="1" applyProtection="1">
      <protection locked="0"/>
    </xf>
    <xf numFmtId="42" fontId="5" fillId="11" borderId="5" xfId="1" applyNumberFormat="1" applyFont="1" applyFill="1" applyBorder="1" applyProtection="1">
      <protection locked="0"/>
    </xf>
    <xf numFmtId="42" fontId="5" fillId="11" borderId="25" xfId="1" applyNumberFormat="1" applyFont="1" applyFill="1" applyBorder="1" applyProtection="1">
      <protection locked="0"/>
    </xf>
    <xf numFmtId="9" fontId="5" fillId="4" borderId="0" xfId="2" applyFont="1" applyFill="1" applyAlignment="1" applyProtection="1">
      <alignment horizontal="left"/>
      <protection locked="0"/>
    </xf>
    <xf numFmtId="9" fontId="5" fillId="4" borderId="0" xfId="2" applyFont="1" applyFill="1" applyBorder="1" applyProtection="1">
      <protection locked="0"/>
    </xf>
    <xf numFmtId="9" fontId="5" fillId="4" borderId="5" xfId="2" applyFont="1" applyFill="1" applyBorder="1" applyProtection="1">
      <protection locked="0"/>
    </xf>
    <xf numFmtId="44" fontId="19" fillId="11" borderId="0" xfId="1" applyFont="1" applyFill="1" applyBorder="1" applyAlignment="1" applyProtection="1">
      <alignment horizontal="center"/>
      <protection locked="0"/>
    </xf>
    <xf numFmtId="0" fontId="19" fillId="11" borderId="47" xfId="0" applyFont="1" applyFill="1" applyBorder="1" applyAlignment="1" applyProtection="1">
      <alignment horizontal="center"/>
      <protection locked="0"/>
    </xf>
    <xf numFmtId="44" fontId="19" fillId="4" borderId="0" xfId="1" applyFont="1" applyFill="1" applyBorder="1" applyAlignment="1" applyProtection="1">
      <alignment horizontal="center"/>
      <protection locked="0"/>
    </xf>
    <xf numFmtId="0" fontId="19" fillId="4" borderId="47" xfId="0" applyFont="1" applyFill="1" applyBorder="1" applyAlignment="1" applyProtection="1">
      <alignment horizontal="center"/>
      <protection locked="0"/>
    </xf>
    <xf numFmtId="0" fontId="19" fillId="11" borderId="46" xfId="0" applyFont="1" applyFill="1" applyBorder="1" applyAlignment="1" applyProtection="1">
      <alignment horizontal="center"/>
      <protection locked="0"/>
    </xf>
    <xf numFmtId="173" fontId="5" fillId="11" borderId="0" xfId="4" applyNumberFormat="1" applyFont="1" applyFill="1" applyBorder="1" applyProtection="1">
      <protection locked="0"/>
    </xf>
    <xf numFmtId="0" fontId="5" fillId="11" borderId="0" xfId="0" applyFont="1" applyFill="1" applyBorder="1" applyProtection="1">
      <protection locked="0"/>
    </xf>
    <xf numFmtId="173" fontId="5" fillId="4" borderId="0" xfId="4" applyNumberFormat="1" applyFont="1" applyFill="1" applyBorder="1" applyProtection="1">
      <protection locked="0"/>
    </xf>
    <xf numFmtId="0" fontId="5" fillId="4" borderId="0" xfId="0" applyFont="1" applyFill="1" applyBorder="1" applyProtection="1">
      <protection locked="0"/>
    </xf>
    <xf numFmtId="173" fontId="5" fillId="4" borderId="7" xfId="4" applyNumberFormat="1" applyFont="1" applyFill="1" applyBorder="1" applyProtection="1">
      <protection locked="0"/>
    </xf>
    <xf numFmtId="44" fontId="19" fillId="4" borderId="0" xfId="1" applyFont="1" applyFill="1" applyBorder="1" applyAlignment="1" applyProtection="1">
      <alignment horizontal="right"/>
      <protection locked="0"/>
    </xf>
    <xf numFmtId="44" fontId="19" fillId="11" borderId="0" xfId="1" applyFont="1" applyFill="1" applyBorder="1" applyAlignment="1" applyProtection="1">
      <alignment horizontal="right"/>
      <protection locked="0"/>
    </xf>
    <xf numFmtId="0" fontId="13" fillId="0" borderId="4" xfId="0" applyFont="1" applyFill="1" applyBorder="1" applyAlignment="1">
      <alignment horizontal="left"/>
    </xf>
    <xf numFmtId="164" fontId="0" fillId="3" borderId="0" xfId="0" applyNumberFormat="1" applyFill="1" applyBorder="1"/>
    <xf numFmtId="164" fontId="6" fillId="3" borderId="0" xfId="0" applyNumberFormat="1" applyFont="1" applyFill="1"/>
    <xf numFmtId="172" fontId="0" fillId="0" borderId="0" xfId="1" applyNumberFormat="1" applyFont="1" applyFill="1" applyBorder="1" applyAlignment="1">
      <alignment horizontal="center"/>
    </xf>
    <xf numFmtId="172" fontId="0" fillId="0" borderId="5" xfId="1" applyNumberFormat="1" applyFont="1" applyFill="1" applyBorder="1" applyAlignment="1">
      <alignment horizontal="center"/>
    </xf>
    <xf numFmtId="172" fontId="0" fillId="0" borderId="49" xfId="1" applyNumberFormat="1" applyFont="1" applyFill="1" applyBorder="1" applyAlignment="1">
      <alignment horizontal="center"/>
    </xf>
    <xf numFmtId="172" fontId="0" fillId="0" borderId="7" xfId="1" applyNumberFormat="1" applyFont="1" applyFill="1" applyBorder="1" applyAlignment="1">
      <alignment horizontal="center"/>
    </xf>
    <xf numFmtId="172" fontId="6" fillId="3" borderId="0" xfId="0" applyNumberFormat="1" applyFont="1" applyFill="1"/>
    <xf numFmtId="0" fontId="0" fillId="3" borderId="0" xfId="0" applyFont="1" applyFill="1" applyAlignment="1">
      <alignment wrapText="1"/>
    </xf>
    <xf numFmtId="0" fontId="0" fillId="3" borderId="0" xfId="0" applyFont="1" applyFill="1" applyAlignment="1">
      <alignment vertical="top" wrapText="1"/>
    </xf>
    <xf numFmtId="0" fontId="5" fillId="3" borderId="0" xfId="0" applyFont="1" applyFill="1" applyAlignment="1">
      <alignment vertical="center"/>
    </xf>
    <xf numFmtId="0" fontId="5" fillId="3" borderId="0" xfId="0" applyFont="1" applyFill="1" applyAlignment="1">
      <alignment horizontal="right" vertical="center"/>
    </xf>
    <xf numFmtId="0" fontId="0" fillId="3" borderId="0" xfId="0" applyFont="1" applyFill="1" applyAlignment="1">
      <alignment horizontal="left" vertical="center" wrapText="1"/>
    </xf>
    <xf numFmtId="0" fontId="0" fillId="3" borderId="0" xfId="0" applyFont="1" applyFill="1" applyAlignment="1">
      <alignment vertical="center" wrapText="1"/>
    </xf>
    <xf numFmtId="0" fontId="5" fillId="6" borderId="0" xfId="0" applyFont="1" applyFill="1" applyAlignment="1">
      <alignment horizontal="center" vertical="center"/>
    </xf>
    <xf numFmtId="0" fontId="5" fillId="7" borderId="0" xfId="0" applyFont="1" applyFill="1" applyAlignment="1">
      <alignment horizontal="center" vertical="center"/>
    </xf>
    <xf numFmtId="0" fontId="5" fillId="8" borderId="0" xfId="0" applyFont="1" applyFill="1" applyAlignment="1">
      <alignment horizontal="center" vertical="center"/>
    </xf>
    <xf numFmtId="0" fontId="0" fillId="3" borderId="0" xfId="0" applyFont="1" applyFill="1" applyAlignment="1">
      <alignment vertical="center"/>
    </xf>
    <xf numFmtId="0" fontId="17" fillId="10" borderId="0" xfId="0" applyFont="1" applyFill="1" applyAlignment="1">
      <alignment vertical="center" wrapText="1"/>
    </xf>
    <xf numFmtId="0" fontId="0" fillId="3" borderId="0" xfId="0" applyFill="1" applyAlignment="1">
      <alignment vertical="center"/>
    </xf>
    <xf numFmtId="44" fontId="10" fillId="3" borderId="0" xfId="0" applyNumberFormat="1" applyFont="1" applyFill="1"/>
    <xf numFmtId="49" fontId="13" fillId="3" borderId="0" xfId="0" applyNumberFormat="1" applyFont="1" applyFill="1" applyBorder="1" applyAlignment="1">
      <alignment horizontal="left"/>
    </xf>
    <xf numFmtId="0" fontId="2" fillId="0" borderId="1" xfId="0" applyFont="1" applyFill="1" applyBorder="1" applyAlignment="1">
      <alignment vertical="center"/>
    </xf>
    <xf numFmtId="0" fontId="2" fillId="0" borderId="2" xfId="0" applyFont="1" applyFill="1" applyBorder="1" applyAlignment="1">
      <alignment vertical="center"/>
    </xf>
    <xf numFmtId="0" fontId="2" fillId="0" borderId="3" xfId="0" applyFont="1" applyFill="1" applyBorder="1" applyAlignment="1">
      <alignment vertical="center"/>
    </xf>
    <xf numFmtId="49" fontId="13" fillId="0" borderId="4" xfId="0" applyNumberFormat="1" applyFont="1" applyFill="1" applyBorder="1"/>
    <xf numFmtId="0" fontId="13" fillId="0" borderId="4" xfId="0" applyFont="1" applyFill="1" applyBorder="1" applyAlignment="1"/>
    <xf numFmtId="0" fontId="12" fillId="0" borderId="4" xfId="0" applyFont="1" applyFill="1" applyBorder="1" applyAlignment="1">
      <alignment horizontal="left"/>
    </xf>
    <xf numFmtId="49" fontId="13" fillId="0" borderId="4" xfId="0" applyNumberFormat="1" applyFont="1" applyFill="1" applyBorder="1" applyAlignment="1">
      <alignment horizontal="left"/>
    </xf>
    <xf numFmtId="49" fontId="13" fillId="0" borderId="4" xfId="0" applyNumberFormat="1" applyFont="1" applyFill="1" applyBorder="1" applyAlignment="1">
      <alignment horizontal="right"/>
    </xf>
    <xf numFmtId="49" fontId="13" fillId="0" borderId="4" xfId="0" applyNumberFormat="1" applyFont="1" applyFill="1" applyBorder="1" applyAlignment="1">
      <alignment horizontal="left" indent="2"/>
    </xf>
    <xf numFmtId="49" fontId="13" fillId="0" borderId="4" xfId="0" applyNumberFormat="1" applyFont="1" applyFill="1" applyBorder="1" applyAlignment="1">
      <alignment horizontal="left" vertical="center"/>
    </xf>
    <xf numFmtId="49" fontId="13" fillId="0" borderId="4" xfId="0" applyNumberFormat="1" applyFont="1" applyFill="1" applyBorder="1" applyAlignment="1">
      <alignment horizontal="left" wrapText="1"/>
    </xf>
    <xf numFmtId="49" fontId="13" fillId="0" borderId="6" xfId="0" applyNumberFormat="1" applyFont="1" applyFill="1" applyBorder="1" applyAlignment="1">
      <alignment horizontal="left"/>
    </xf>
    <xf numFmtId="0" fontId="13" fillId="3" borderId="0" xfId="0" applyFont="1" applyFill="1" applyBorder="1" applyAlignment="1">
      <alignment horizontal="left"/>
    </xf>
    <xf numFmtId="0" fontId="0" fillId="3" borderId="0" xfId="0" applyFont="1" applyFill="1" applyProtection="1"/>
    <xf numFmtId="0" fontId="0" fillId="0" borderId="4" xfId="0" applyFont="1" applyFill="1" applyBorder="1" applyProtection="1"/>
    <xf numFmtId="0" fontId="5" fillId="0" borderId="5" xfId="0" applyFont="1" applyFill="1" applyBorder="1" applyProtection="1"/>
    <xf numFmtId="0" fontId="2" fillId="0" borderId="4" xfId="0" applyFont="1" applyFill="1" applyBorder="1" applyAlignment="1" applyProtection="1">
      <alignment horizontal="center"/>
    </xf>
    <xf numFmtId="0" fontId="2" fillId="0" borderId="0" xfId="0" applyFont="1" applyFill="1" applyBorder="1" applyAlignment="1" applyProtection="1">
      <alignment horizontal="center"/>
    </xf>
    <xf numFmtId="0" fontId="5" fillId="0" borderId="0" xfId="0" applyFont="1" applyFill="1" applyBorder="1" applyAlignment="1" applyProtection="1">
      <alignment horizontal="center"/>
    </xf>
    <xf numFmtId="0" fontId="0" fillId="0" borderId="0" xfId="0" applyFont="1" applyFill="1" applyBorder="1" applyAlignment="1" applyProtection="1">
      <alignment horizontal="center"/>
    </xf>
    <xf numFmtId="0" fontId="5" fillId="0" borderId="5" xfId="0" applyFont="1" applyFill="1" applyBorder="1" applyAlignment="1" applyProtection="1">
      <alignment horizontal="center"/>
    </xf>
    <xf numFmtId="0" fontId="8" fillId="0" borderId="4" xfId="0" applyFont="1" applyFill="1" applyBorder="1" applyAlignment="1" applyProtection="1">
      <alignment horizontal="right"/>
    </xf>
    <xf numFmtId="0" fontId="0" fillId="0" borderId="22" xfId="0" applyFont="1" applyFill="1" applyBorder="1" applyAlignment="1" applyProtection="1">
      <alignment horizontal="center"/>
    </xf>
    <xf numFmtId="0" fontId="0" fillId="0" borderId="25" xfId="0" applyFont="1" applyFill="1" applyBorder="1" applyAlignment="1" applyProtection="1">
      <alignment horizontal="center"/>
    </xf>
    <xf numFmtId="0" fontId="13" fillId="0" borderId="4" xfId="0" applyFont="1" applyFill="1" applyBorder="1" applyProtection="1"/>
    <xf numFmtId="0" fontId="0" fillId="0" borderId="0" xfId="0" applyFont="1" applyFill="1" applyBorder="1" applyProtection="1"/>
    <xf numFmtId="0" fontId="24" fillId="0" borderId="0" xfId="0" applyFont="1" applyFill="1" applyBorder="1" applyProtection="1"/>
    <xf numFmtId="0" fontId="0" fillId="0" borderId="4" xfId="0" applyFont="1" applyFill="1" applyBorder="1" applyAlignment="1" applyProtection="1">
      <alignment horizontal="right"/>
    </xf>
    <xf numFmtId="0" fontId="0" fillId="0" borderId="5" xfId="0" applyFont="1" applyFill="1" applyBorder="1" applyAlignment="1" applyProtection="1">
      <alignment horizontal="center"/>
    </xf>
    <xf numFmtId="0" fontId="5" fillId="0" borderId="4" xfId="0" applyFont="1" applyFill="1" applyBorder="1" applyAlignment="1" applyProtection="1">
      <alignment horizontal="right"/>
    </xf>
    <xf numFmtId="44" fontId="0" fillId="0" borderId="0" xfId="1" applyFont="1" applyFill="1" applyBorder="1" applyProtection="1"/>
    <xf numFmtId="0" fontId="0" fillId="0" borderId="5" xfId="0" applyFont="1" applyFill="1" applyBorder="1" applyProtection="1"/>
    <xf numFmtId="0" fontId="5" fillId="0" borderId="34" xfId="0" applyFont="1" applyFill="1" applyBorder="1" applyAlignment="1" applyProtection="1">
      <alignment horizontal="right"/>
    </xf>
    <xf numFmtId="0" fontId="0" fillId="0" borderId="35" xfId="0" applyFont="1" applyFill="1" applyBorder="1" applyProtection="1"/>
    <xf numFmtId="0" fontId="0" fillId="0" borderId="36" xfId="0" applyFont="1" applyFill="1" applyBorder="1" applyProtection="1"/>
    <xf numFmtId="173" fontId="24" fillId="0" borderId="0" xfId="4" applyNumberFormat="1" applyFont="1" applyFill="1" applyBorder="1" applyProtection="1"/>
    <xf numFmtId="0" fontId="0" fillId="0" borderId="6" xfId="0" applyFont="1" applyFill="1" applyBorder="1" applyAlignment="1" applyProtection="1">
      <alignment horizontal="right"/>
    </xf>
    <xf numFmtId="44" fontId="0" fillId="2" borderId="7" xfId="1" applyFont="1" applyFill="1" applyBorder="1" applyProtection="1"/>
    <xf numFmtId="44" fontId="0" fillId="2" borderId="8" xfId="1" applyFont="1" applyFill="1" applyBorder="1" applyProtection="1"/>
    <xf numFmtId="0" fontId="24" fillId="0" borderId="0" xfId="0" applyFont="1" applyFill="1" applyBorder="1" applyAlignment="1" applyProtection="1">
      <alignment horizontal="right"/>
    </xf>
    <xf numFmtId="0" fontId="0" fillId="3" borderId="0" xfId="0" applyFont="1" applyFill="1" applyBorder="1" applyAlignment="1" applyProtection="1">
      <alignment horizontal="right"/>
    </xf>
    <xf numFmtId="44" fontId="0" fillId="3" borderId="0" xfId="1" applyFont="1" applyFill="1" applyBorder="1" applyProtection="1"/>
    <xf numFmtId="0" fontId="13" fillId="0" borderId="4" xfId="0" applyFont="1" applyFill="1" applyBorder="1" applyAlignment="1" applyProtection="1">
      <alignment horizontal="right"/>
    </xf>
    <xf numFmtId="44" fontId="24" fillId="0" borderId="0" xfId="1" applyFont="1" applyFill="1" applyBorder="1" applyProtection="1"/>
    <xf numFmtId="0" fontId="0" fillId="3" borderId="0" xfId="0" applyFont="1" applyFill="1" applyBorder="1" applyProtection="1"/>
    <xf numFmtId="0" fontId="5" fillId="0" borderId="4" xfId="0" applyFont="1" applyFill="1" applyBorder="1" applyProtection="1"/>
    <xf numFmtId="0" fontId="5" fillId="0" borderId="0" xfId="0" applyFont="1" applyFill="1" applyBorder="1" applyAlignment="1" applyProtection="1">
      <alignment horizontal="right"/>
    </xf>
    <xf numFmtId="0" fontId="5" fillId="0" borderId="5" xfId="0" applyFont="1" applyFill="1" applyBorder="1" applyAlignment="1" applyProtection="1">
      <alignment horizontal="right"/>
    </xf>
    <xf numFmtId="0" fontId="0" fillId="3" borderId="0" xfId="0" applyFont="1" applyFill="1" applyBorder="1" applyAlignment="1" applyProtection="1"/>
    <xf numFmtId="44" fontId="0" fillId="3" borderId="0" xfId="1" applyFont="1" applyFill="1" applyBorder="1" applyAlignment="1" applyProtection="1">
      <alignment vertical="center"/>
    </xf>
    <xf numFmtId="0" fontId="0" fillId="3" borderId="0" xfId="0" applyFont="1" applyFill="1" applyAlignment="1" applyProtection="1">
      <alignment horizontal="left"/>
    </xf>
    <xf numFmtId="0" fontId="14" fillId="3" borderId="0" xfId="0" applyFont="1" applyFill="1" applyBorder="1" applyAlignment="1" applyProtection="1"/>
    <xf numFmtId="0" fontId="2" fillId="3" borderId="0" xfId="0" applyFont="1" applyFill="1" applyBorder="1" applyAlignment="1" applyProtection="1">
      <alignment horizontal="center"/>
    </xf>
    <xf numFmtId="0" fontId="13" fillId="0" borderId="4" xfId="0" applyFont="1" applyFill="1" applyBorder="1" applyAlignment="1" applyProtection="1">
      <alignment horizontal="left"/>
    </xf>
    <xf numFmtId="0" fontId="13" fillId="0" borderId="0" xfId="0" applyFont="1" applyFill="1" applyBorder="1" applyAlignment="1" applyProtection="1">
      <alignment horizontal="center"/>
    </xf>
    <xf numFmtId="9" fontId="0" fillId="3" borderId="0" xfId="2" applyFont="1" applyFill="1" applyProtection="1"/>
    <xf numFmtId="44" fontId="0" fillId="3" borderId="0" xfId="0" applyNumberFormat="1" applyFont="1" applyFill="1" applyBorder="1" applyAlignment="1" applyProtection="1">
      <alignment horizontal="center" vertical="center"/>
    </xf>
    <xf numFmtId="44" fontId="24" fillId="0" borderId="0" xfId="1" applyFont="1" applyFill="1" applyBorder="1" applyAlignment="1" applyProtection="1">
      <alignment vertical="center"/>
    </xf>
    <xf numFmtId="0" fontId="0" fillId="0" borderId="0" xfId="0" applyFont="1" applyFill="1" applyBorder="1" applyAlignment="1" applyProtection="1">
      <alignment vertical="center"/>
    </xf>
    <xf numFmtId="9" fontId="24" fillId="0" borderId="0" xfId="2" applyFont="1" applyFill="1" applyBorder="1" applyAlignment="1" applyProtection="1">
      <alignment vertical="center"/>
    </xf>
    <xf numFmtId="0" fontId="0" fillId="3" borderId="0" xfId="0" applyFont="1" applyFill="1" applyBorder="1" applyAlignment="1" applyProtection="1">
      <alignment horizontal="center" vertical="center"/>
    </xf>
    <xf numFmtId="0" fontId="24" fillId="0" borderId="0" xfId="1" applyNumberFormat="1" applyFont="1" applyFill="1" applyBorder="1" applyProtection="1"/>
    <xf numFmtId="0" fontId="13" fillId="0" borderId="0" xfId="0" applyFont="1" applyFill="1" applyBorder="1" applyProtection="1"/>
    <xf numFmtId="9" fontId="24" fillId="0" borderId="0" xfId="2" applyFont="1" applyFill="1" applyBorder="1" applyProtection="1"/>
    <xf numFmtId="0" fontId="13" fillId="0" borderId="6" xfId="0" applyFont="1" applyFill="1" applyBorder="1" applyProtection="1"/>
    <xf numFmtId="0" fontId="0" fillId="0" borderId="7" xfId="0" applyFont="1" applyFill="1" applyBorder="1" applyProtection="1"/>
    <xf numFmtId="9" fontId="5" fillId="0" borderId="8" xfId="0" quotePrefix="1" applyNumberFormat="1" applyFont="1" applyFill="1" applyBorder="1" applyProtection="1"/>
    <xf numFmtId="44" fontId="24" fillId="0" borderId="7" xfId="1" applyFont="1" applyFill="1" applyBorder="1" applyProtection="1"/>
    <xf numFmtId="9" fontId="24" fillId="0" borderId="7" xfId="2" applyFont="1" applyFill="1" applyBorder="1" applyProtection="1"/>
    <xf numFmtId="44" fontId="24" fillId="0" borderId="7" xfId="1" applyFont="1" applyFill="1" applyBorder="1" applyAlignment="1" applyProtection="1">
      <alignment vertical="center"/>
    </xf>
    <xf numFmtId="0" fontId="0" fillId="0" borderId="7" xfId="0" applyFont="1" applyFill="1" applyBorder="1" applyAlignment="1" applyProtection="1">
      <alignment vertical="center"/>
    </xf>
    <xf numFmtId="0" fontId="13" fillId="0" borderId="7" xfId="0" applyFont="1" applyFill="1" applyBorder="1" applyProtection="1"/>
    <xf numFmtId="0" fontId="5" fillId="4" borderId="5" xfId="0" applyFont="1" applyFill="1" applyBorder="1" applyProtection="1">
      <protection locked="0"/>
    </xf>
    <xf numFmtId="0" fontId="5" fillId="11" borderId="5" xfId="0" applyFont="1" applyFill="1" applyBorder="1" applyProtection="1">
      <protection locked="0"/>
    </xf>
    <xf numFmtId="0" fontId="5" fillId="4" borderId="0" xfId="0" applyFont="1" applyFill="1" applyBorder="1" applyAlignment="1" applyProtection="1">
      <alignment horizontal="center"/>
      <protection locked="0"/>
    </xf>
    <xf numFmtId="0" fontId="5" fillId="11" borderId="0" xfId="0" applyFont="1" applyFill="1" applyBorder="1" applyAlignment="1" applyProtection="1">
      <alignment horizontal="center"/>
      <protection locked="0"/>
    </xf>
    <xf numFmtId="0" fontId="5" fillId="11" borderId="5" xfId="0" applyFont="1" applyFill="1" applyBorder="1" applyAlignment="1" applyProtection="1">
      <alignment horizontal="center"/>
      <protection locked="0"/>
    </xf>
    <xf numFmtId="44" fontId="5" fillId="4" borderId="35" xfId="1" applyFont="1" applyFill="1" applyBorder="1" applyProtection="1">
      <protection locked="0"/>
    </xf>
    <xf numFmtId="173" fontId="5" fillId="4" borderId="5" xfId="4" applyNumberFormat="1" applyFont="1" applyFill="1" applyBorder="1" applyProtection="1">
      <protection locked="0"/>
    </xf>
    <xf numFmtId="44" fontId="5" fillId="4" borderId="5" xfId="1" applyFont="1" applyFill="1" applyBorder="1" applyProtection="1">
      <protection locked="0"/>
    </xf>
    <xf numFmtId="0" fontId="5" fillId="11" borderId="5" xfId="0" applyFont="1" applyFill="1" applyBorder="1" applyAlignment="1" applyProtection="1">
      <alignment horizontal="center" vertical="center"/>
      <protection locked="0"/>
    </xf>
    <xf numFmtId="44" fontId="5" fillId="11" borderId="8" xfId="1" applyFont="1" applyFill="1" applyBorder="1" applyProtection="1">
      <protection locked="0"/>
    </xf>
    <xf numFmtId="44" fontId="5" fillId="11" borderId="5" xfId="1" applyFont="1" applyFill="1" applyBorder="1" applyProtection="1">
      <protection locked="0"/>
    </xf>
    <xf numFmtId="172" fontId="5" fillId="4" borderId="0" xfId="1" applyNumberFormat="1" applyFont="1" applyFill="1" applyBorder="1" applyAlignment="1" applyProtection="1">
      <alignment horizontal="right"/>
      <protection locked="0"/>
    </xf>
    <xf numFmtId="172" fontId="5" fillId="11" borderId="0" xfId="0" applyNumberFormat="1" applyFont="1" applyFill="1" applyBorder="1" applyAlignment="1" applyProtection="1">
      <alignment horizontal="right"/>
      <protection locked="0"/>
    </xf>
    <xf numFmtId="172" fontId="5" fillId="4" borderId="0" xfId="0" applyNumberFormat="1" applyFont="1" applyFill="1" applyBorder="1" applyAlignment="1" applyProtection="1">
      <alignment horizontal="right"/>
      <protection locked="0"/>
    </xf>
    <xf numFmtId="172" fontId="5" fillId="4" borderId="5" xfId="0" applyNumberFormat="1" applyFont="1" applyFill="1" applyBorder="1" applyAlignment="1" applyProtection="1">
      <alignment horizontal="right"/>
      <protection locked="0"/>
    </xf>
    <xf numFmtId="44" fontId="5" fillId="4" borderId="8" xfId="1" applyFont="1" applyFill="1" applyBorder="1" applyProtection="1">
      <protection locked="0"/>
    </xf>
    <xf numFmtId="9" fontId="5" fillId="11" borderId="8" xfId="2" applyFont="1" applyFill="1" applyBorder="1" applyProtection="1">
      <protection locked="0"/>
    </xf>
    <xf numFmtId="0" fontId="19" fillId="4" borderId="5" xfId="0" applyFont="1" applyFill="1" applyBorder="1" applyAlignment="1" applyProtection="1">
      <alignment horizontal="center" vertical="center"/>
      <protection locked="0"/>
    </xf>
    <xf numFmtId="44" fontId="5" fillId="11" borderId="5" xfId="1" applyFont="1" applyFill="1" applyBorder="1" applyAlignment="1" applyProtection="1">
      <alignment vertical="center"/>
      <protection locked="0"/>
    </xf>
    <xf numFmtId="9" fontId="5" fillId="4" borderId="5" xfId="2" applyFont="1" applyFill="1" applyBorder="1" applyAlignment="1" applyProtection="1">
      <alignment vertical="center"/>
      <protection locked="0"/>
    </xf>
    <xf numFmtId="44" fontId="5" fillId="11" borderId="8" xfId="1" applyFont="1" applyFill="1" applyBorder="1" applyAlignment="1" applyProtection="1">
      <alignment vertical="center"/>
      <protection locked="0"/>
    </xf>
    <xf numFmtId="0" fontId="19" fillId="11" borderId="5" xfId="0" applyFont="1" applyFill="1" applyBorder="1" applyProtection="1">
      <protection locked="0"/>
    </xf>
    <xf numFmtId="44" fontId="19" fillId="4" borderId="5" xfId="1" applyFont="1" applyFill="1" applyBorder="1" applyProtection="1">
      <protection locked="0"/>
    </xf>
    <xf numFmtId="44" fontId="19" fillId="4" borderId="8" xfId="1" applyFont="1" applyFill="1" applyBorder="1" applyProtection="1">
      <protection locked="0"/>
    </xf>
    <xf numFmtId="9" fontId="5" fillId="4" borderId="8" xfId="2" applyFont="1" applyFill="1" applyBorder="1" applyProtection="1">
      <protection locked="0"/>
    </xf>
    <xf numFmtId="9" fontId="5" fillId="11" borderId="5" xfId="2" applyFont="1" applyFill="1" applyBorder="1" applyProtection="1">
      <protection locked="0"/>
    </xf>
    <xf numFmtId="0" fontId="10" fillId="3" borderId="0" xfId="0" applyFont="1" applyFill="1" applyProtection="1"/>
    <xf numFmtId="9" fontId="10" fillId="3" borderId="0" xfId="2" applyFont="1" applyFill="1" applyProtection="1"/>
    <xf numFmtId="1" fontId="19" fillId="11" borderId="0" xfId="0" applyNumberFormat="1" applyFont="1" applyFill="1" applyBorder="1" applyAlignment="1" applyProtection="1">
      <alignment horizontal="center"/>
      <protection locked="0"/>
    </xf>
    <xf numFmtId="0" fontId="19" fillId="4" borderId="0" xfId="0" applyFont="1" applyFill="1" applyBorder="1" applyAlignment="1" applyProtection="1">
      <alignment horizontal="center"/>
      <protection locked="0"/>
    </xf>
    <xf numFmtId="43" fontId="19" fillId="11" borderId="0" xfId="4" applyFont="1" applyFill="1" applyBorder="1" applyAlignment="1" applyProtection="1">
      <alignment horizontal="center"/>
      <protection locked="0"/>
    </xf>
    <xf numFmtId="173" fontId="19" fillId="11" borderId="0" xfId="4" applyNumberFormat="1" applyFont="1" applyFill="1" applyBorder="1" applyAlignment="1" applyProtection="1">
      <alignment horizontal="center"/>
      <protection locked="0"/>
    </xf>
    <xf numFmtId="9" fontId="19" fillId="11" borderId="0" xfId="0" applyNumberFormat="1" applyFont="1" applyFill="1" applyBorder="1" applyAlignment="1" applyProtection="1">
      <alignment horizontal="center"/>
      <protection locked="0"/>
    </xf>
    <xf numFmtId="173" fontId="19" fillId="4" borderId="0" xfId="4" applyNumberFormat="1" applyFont="1" applyFill="1" applyBorder="1" applyAlignment="1" applyProtection="1">
      <alignment horizontal="center"/>
      <protection locked="0"/>
    </xf>
    <xf numFmtId="9" fontId="19" fillId="4" borderId="0" xfId="0" applyNumberFormat="1" applyFont="1" applyFill="1" applyBorder="1" applyAlignment="1" applyProtection="1">
      <alignment horizontal="center"/>
      <protection locked="0"/>
    </xf>
    <xf numFmtId="3" fontId="19" fillId="4" borderId="27" xfId="0" applyNumberFormat="1" applyFont="1" applyFill="1" applyBorder="1" applyAlignment="1" applyProtection="1">
      <alignment horizontal="right"/>
      <protection locked="0"/>
    </xf>
    <xf numFmtId="3" fontId="19" fillId="11" borderId="27" xfId="0" applyNumberFormat="1" applyFont="1" applyFill="1" applyBorder="1" applyAlignment="1" applyProtection="1">
      <alignment horizontal="right"/>
      <protection locked="0"/>
    </xf>
    <xf numFmtId="0" fontId="13" fillId="0" borderId="29" xfId="0" applyFont="1" applyFill="1" applyBorder="1" applyAlignment="1" applyProtection="1">
      <alignment horizontal="center"/>
      <protection locked="0"/>
    </xf>
    <xf numFmtId="0" fontId="5" fillId="4" borderId="27" xfId="0" applyFont="1" applyFill="1" applyBorder="1" applyProtection="1">
      <protection locked="0"/>
    </xf>
    <xf numFmtId="0" fontId="5" fillId="11" borderId="27" xfId="0" applyFont="1" applyFill="1" applyBorder="1" applyProtection="1">
      <protection locked="0"/>
    </xf>
    <xf numFmtId="0" fontId="16" fillId="3" borderId="0" xfId="0" applyFont="1" applyFill="1" applyAlignment="1">
      <alignment horizontal="left" vertical="center"/>
    </xf>
    <xf numFmtId="0" fontId="29" fillId="3" borderId="0" xfId="3" applyFont="1" applyFill="1"/>
    <xf numFmtId="0" fontId="13" fillId="0" borderId="0" xfId="0" applyFont="1" applyFill="1" applyBorder="1" applyAlignment="1">
      <alignment horizontal="right"/>
    </xf>
    <xf numFmtId="0" fontId="13" fillId="0" borderId="5" xfId="0" applyFont="1" applyFill="1" applyBorder="1" applyAlignment="1">
      <alignment horizontal="right"/>
    </xf>
    <xf numFmtId="164" fontId="13" fillId="0" borderId="5" xfId="0" applyNumberFormat="1" applyFont="1" applyFill="1" applyBorder="1" applyAlignment="1">
      <alignment horizontal="right"/>
    </xf>
    <xf numFmtId="3" fontId="13" fillId="0" borderId="0" xfId="0" applyNumberFormat="1" applyFont="1" applyFill="1" applyBorder="1" applyAlignment="1">
      <alignment horizontal="right"/>
    </xf>
    <xf numFmtId="170" fontId="13" fillId="0" borderId="5" xfId="0" applyNumberFormat="1" applyFont="1" applyFill="1" applyBorder="1" applyAlignment="1">
      <alignment horizontal="right"/>
    </xf>
    <xf numFmtId="0" fontId="0" fillId="0" borderId="0" xfId="0" applyFont="1" applyFill="1" applyBorder="1" applyAlignment="1">
      <alignment horizontal="right"/>
    </xf>
    <xf numFmtId="0" fontId="0" fillId="0" borderId="5" xfId="0" applyFont="1" applyFill="1" applyBorder="1" applyAlignment="1">
      <alignment horizontal="right"/>
    </xf>
    <xf numFmtId="44" fontId="0" fillId="0" borderId="0" xfId="0" applyNumberFormat="1" applyFont="1" applyFill="1" applyBorder="1" applyAlignment="1">
      <alignment horizontal="right"/>
    </xf>
    <xf numFmtId="44" fontId="0" fillId="0" borderId="5" xfId="0" applyNumberFormat="1" applyFont="1" applyFill="1" applyBorder="1" applyAlignment="1">
      <alignment horizontal="right"/>
    </xf>
    <xf numFmtId="6" fontId="13" fillId="0" borderId="0" xfId="0" applyNumberFormat="1" applyFont="1" applyFill="1" applyBorder="1" applyAlignment="1">
      <alignment horizontal="right"/>
    </xf>
    <xf numFmtId="6" fontId="13" fillId="0" borderId="5" xfId="0" applyNumberFormat="1" applyFont="1" applyFill="1" applyBorder="1" applyAlignment="1">
      <alignment horizontal="right"/>
    </xf>
    <xf numFmtId="164" fontId="13" fillId="0" borderId="7" xfId="0" applyNumberFormat="1" applyFont="1" applyFill="1" applyBorder="1" applyAlignment="1">
      <alignment horizontal="right"/>
    </xf>
    <xf numFmtId="164" fontId="13" fillId="0" borderId="8" xfId="0" applyNumberFormat="1" applyFont="1" applyFill="1" applyBorder="1" applyAlignment="1">
      <alignment horizontal="right"/>
    </xf>
    <xf numFmtId="164" fontId="19" fillId="4" borderId="0" xfId="0" applyNumberFormat="1" applyFont="1" applyFill="1" applyBorder="1" applyAlignment="1" applyProtection="1">
      <alignment horizontal="right"/>
      <protection locked="0"/>
    </xf>
    <xf numFmtId="164" fontId="19" fillId="4" borderId="5" xfId="0" applyNumberFormat="1" applyFont="1" applyFill="1" applyBorder="1" applyAlignment="1" applyProtection="1">
      <alignment horizontal="right"/>
      <protection locked="0"/>
    </xf>
    <xf numFmtId="164" fontId="19" fillId="11" borderId="0" xfId="0" applyNumberFormat="1" applyFont="1" applyFill="1" applyBorder="1" applyAlignment="1" applyProtection="1">
      <alignment horizontal="right"/>
      <protection locked="0"/>
    </xf>
    <xf numFmtId="164" fontId="19" fillId="11" borderId="5" xfId="0" applyNumberFormat="1" applyFont="1" applyFill="1" applyBorder="1" applyAlignment="1" applyProtection="1">
      <alignment horizontal="right"/>
      <protection locked="0"/>
    </xf>
    <xf numFmtId="164" fontId="19" fillId="4" borderId="22" xfId="0" applyNumberFormat="1" applyFont="1" applyFill="1" applyBorder="1" applyAlignment="1" applyProtection="1">
      <alignment horizontal="right"/>
      <protection locked="0"/>
    </xf>
    <xf numFmtId="164" fontId="19" fillId="4" borderId="25" xfId="0" applyNumberFormat="1" applyFont="1" applyFill="1" applyBorder="1" applyAlignment="1" applyProtection="1">
      <alignment horizontal="right"/>
      <protection locked="0"/>
    </xf>
    <xf numFmtId="164" fontId="12" fillId="0" borderId="7" xfId="0" applyNumberFormat="1" applyFont="1" applyFill="1" applyBorder="1" applyAlignment="1">
      <alignment horizontal="right"/>
    </xf>
    <xf numFmtId="164" fontId="12" fillId="0" borderId="8" xfId="0" applyNumberFormat="1" applyFont="1" applyFill="1" applyBorder="1" applyAlignment="1">
      <alignment horizontal="right"/>
    </xf>
    <xf numFmtId="0" fontId="21" fillId="0" borderId="5" xfId="0" applyFont="1" applyFill="1" applyBorder="1" applyAlignment="1">
      <alignment horizontal="right"/>
    </xf>
    <xf numFmtId="169" fontId="13" fillId="0" borderId="5" xfId="0" applyNumberFormat="1" applyFont="1" applyFill="1" applyBorder="1" applyAlignment="1">
      <alignment horizontal="right"/>
    </xf>
    <xf numFmtId="164" fontId="21" fillId="12" borderId="5" xfId="0" applyNumberFormat="1" applyFont="1" applyFill="1" applyBorder="1" applyAlignment="1">
      <alignment horizontal="right"/>
    </xf>
    <xf numFmtId="164" fontId="13" fillId="12" borderId="5" xfId="0" applyNumberFormat="1" applyFont="1" applyFill="1" applyBorder="1" applyAlignment="1">
      <alignment horizontal="right"/>
    </xf>
    <xf numFmtId="164" fontId="13" fillId="2" borderId="5" xfId="0" applyNumberFormat="1" applyFont="1" applyFill="1" applyBorder="1" applyAlignment="1">
      <alignment horizontal="right"/>
    </xf>
    <xf numFmtId="164" fontId="13" fillId="0" borderId="36" xfId="0" applyNumberFormat="1" applyFont="1" applyFill="1" applyBorder="1" applyAlignment="1">
      <alignment horizontal="right"/>
    </xf>
    <xf numFmtId="6" fontId="13" fillId="0" borderId="5" xfId="1" applyNumberFormat="1" applyFont="1" applyFill="1" applyBorder="1" applyAlignment="1">
      <alignment horizontal="right"/>
    </xf>
    <xf numFmtId="164" fontId="13" fillId="0" borderId="5" xfId="0" applyNumberFormat="1" applyFont="1" applyFill="1" applyBorder="1" applyAlignment="1">
      <alignment horizontal="right" vertical="center"/>
    </xf>
    <xf numFmtId="0" fontId="13" fillId="0" borderId="49" xfId="0" applyFont="1" applyFill="1" applyBorder="1" applyAlignment="1">
      <alignment horizontal="right"/>
    </xf>
    <xf numFmtId="1" fontId="13" fillId="0" borderId="49" xfId="0" applyNumberFormat="1" applyFont="1" applyFill="1" applyBorder="1" applyAlignment="1">
      <alignment horizontal="right"/>
    </xf>
    <xf numFmtId="164" fontId="13" fillId="0" borderId="49" xfId="0" applyNumberFormat="1" applyFont="1" applyFill="1" applyBorder="1" applyAlignment="1">
      <alignment horizontal="right"/>
    </xf>
    <xf numFmtId="0" fontId="13" fillId="0" borderId="48" xfId="0" applyFont="1" applyFill="1" applyBorder="1" applyAlignment="1">
      <alignment horizontal="right"/>
    </xf>
    <xf numFmtId="0" fontId="13" fillId="0" borderId="7" xfId="0" applyFont="1" applyFill="1" applyBorder="1" applyAlignment="1">
      <alignment horizontal="right"/>
    </xf>
    <xf numFmtId="1" fontId="13" fillId="0" borderId="7" xfId="0" applyNumberFormat="1" applyFont="1" applyFill="1" applyBorder="1" applyAlignment="1">
      <alignment horizontal="right"/>
    </xf>
    <xf numFmtId="164" fontId="19" fillId="0" borderId="8" xfId="0" applyNumberFormat="1" applyFont="1" applyFill="1" applyBorder="1" applyAlignment="1">
      <alignment horizontal="right"/>
    </xf>
    <xf numFmtId="164" fontId="19" fillId="0" borderId="5" xfId="0" applyNumberFormat="1" applyFont="1" applyFill="1" applyBorder="1" applyAlignment="1">
      <alignment horizontal="right"/>
    </xf>
    <xf numFmtId="167" fontId="13" fillId="0" borderId="49" xfId="0" applyNumberFormat="1" applyFont="1" applyFill="1" applyBorder="1" applyAlignment="1">
      <alignment horizontal="right"/>
    </xf>
    <xf numFmtId="164" fontId="19" fillId="0" borderId="48" xfId="0" applyNumberFormat="1" applyFont="1" applyFill="1" applyBorder="1" applyAlignment="1">
      <alignment horizontal="right"/>
    </xf>
    <xf numFmtId="167" fontId="13" fillId="0" borderId="7" xfId="0" applyNumberFormat="1" applyFont="1" applyFill="1" applyBorder="1" applyAlignment="1">
      <alignment horizontal="right"/>
    </xf>
    <xf numFmtId="172" fontId="0" fillId="0" borderId="8" xfId="1" applyNumberFormat="1" applyFont="1" applyFill="1" applyBorder="1" applyAlignment="1">
      <alignment horizontal="center"/>
    </xf>
    <xf numFmtId="0" fontId="21" fillId="0" borderId="4" xfId="0" applyFont="1" applyFill="1" applyBorder="1" applyAlignment="1">
      <alignment horizontal="left" wrapText="1"/>
    </xf>
    <xf numFmtId="0" fontId="21" fillId="0" borderId="6" xfId="0" applyFont="1" applyFill="1" applyBorder="1" applyAlignment="1">
      <alignment horizontal="left" wrapText="1"/>
    </xf>
    <xf numFmtId="164" fontId="21" fillId="2" borderId="5" xfId="0" applyNumberFormat="1" applyFont="1" applyFill="1" applyBorder="1" applyAlignment="1">
      <alignment horizontal="right" vertical="center"/>
    </xf>
    <xf numFmtId="164" fontId="21" fillId="0" borderId="5" xfId="0" applyNumberFormat="1" applyFont="1" applyFill="1" applyBorder="1" applyAlignment="1">
      <alignment horizontal="right" vertical="center"/>
    </xf>
    <xf numFmtId="169" fontId="21" fillId="2" borderId="8" xfId="0" applyNumberFormat="1" applyFont="1" applyFill="1" applyBorder="1" applyAlignment="1">
      <alignment horizontal="right" vertical="center"/>
    </xf>
    <xf numFmtId="0" fontId="0" fillId="3" borderId="0" xfId="0" applyFont="1" applyFill="1" applyAlignment="1">
      <alignment horizontal="left" vertical="center" wrapText="1"/>
    </xf>
    <xf numFmtId="0" fontId="11" fillId="9" borderId="0" xfId="0" applyFont="1" applyFill="1" applyAlignment="1">
      <alignment horizontal="center" vertical="center"/>
    </xf>
    <xf numFmtId="0" fontId="5" fillId="7" borderId="0" xfId="0" applyFont="1" applyFill="1" applyAlignment="1">
      <alignment horizontal="center" vertical="center"/>
    </xf>
    <xf numFmtId="0" fontId="2" fillId="0" borderId="37" xfId="0" applyFont="1" applyFill="1" applyBorder="1" applyAlignment="1" applyProtection="1">
      <alignment horizontal="center"/>
    </xf>
    <xf numFmtId="0" fontId="2" fillId="0" borderId="59" xfId="0" applyFont="1" applyFill="1" applyBorder="1" applyAlignment="1" applyProtection="1">
      <alignment horizontal="center"/>
    </xf>
    <xf numFmtId="0" fontId="2" fillId="0" borderId="38" xfId="0" applyFont="1" applyFill="1" applyBorder="1" applyAlignment="1" applyProtection="1">
      <alignment horizontal="center"/>
    </xf>
    <xf numFmtId="0" fontId="2" fillId="0" borderId="60" xfId="0" applyFont="1" applyFill="1" applyBorder="1" applyAlignment="1" applyProtection="1">
      <alignment horizontal="center"/>
    </xf>
    <xf numFmtId="0" fontId="2" fillId="0" borderId="61" xfId="0" applyFont="1" applyFill="1" applyBorder="1" applyAlignment="1" applyProtection="1">
      <alignment horizontal="center"/>
    </xf>
    <xf numFmtId="0" fontId="2" fillId="0" borderId="62" xfId="0" applyFont="1" applyFill="1" applyBorder="1" applyAlignment="1" applyProtection="1">
      <alignment horizontal="center"/>
    </xf>
    <xf numFmtId="0" fontId="5" fillId="0" borderId="13" xfId="0" applyFont="1" applyFill="1" applyBorder="1" applyAlignment="1" applyProtection="1">
      <alignment horizontal="center"/>
    </xf>
    <xf numFmtId="0" fontId="2" fillId="0" borderId="31" xfId="0" applyFont="1" applyFill="1" applyBorder="1" applyAlignment="1" applyProtection="1">
      <alignment horizontal="center"/>
    </xf>
    <xf numFmtId="0" fontId="2" fillId="0" borderId="28" xfId="0" applyFont="1" applyFill="1" applyBorder="1" applyAlignment="1" applyProtection="1">
      <alignment horizontal="center"/>
    </xf>
    <xf numFmtId="0" fontId="2" fillId="0" borderId="33" xfId="0" applyFont="1" applyFill="1" applyBorder="1" applyAlignment="1" applyProtection="1">
      <alignment horizontal="center"/>
    </xf>
    <xf numFmtId="0" fontId="8" fillId="0" borderId="4" xfId="0" applyFont="1" applyFill="1" applyBorder="1" applyAlignment="1" applyProtection="1">
      <alignment horizontal="left"/>
    </xf>
    <xf numFmtId="0" fontId="8" fillId="0" borderId="0" xfId="0" applyFont="1" applyFill="1" applyBorder="1" applyAlignment="1" applyProtection="1">
      <alignment horizontal="left"/>
    </xf>
    <xf numFmtId="0" fontId="8" fillId="0" borderId="5" xfId="0" applyFont="1" applyFill="1" applyBorder="1" applyAlignment="1" applyProtection="1">
      <alignment horizontal="left"/>
    </xf>
    <xf numFmtId="0" fontId="8" fillId="0" borderId="6" xfId="0" applyFont="1" applyFill="1" applyBorder="1" applyAlignment="1" applyProtection="1">
      <alignment horizontal="left"/>
    </xf>
    <xf numFmtId="0" fontId="8" fillId="0" borderId="7" xfId="0" applyFont="1" applyFill="1" applyBorder="1" applyAlignment="1" applyProtection="1">
      <alignment horizontal="left"/>
    </xf>
    <xf numFmtId="0" fontId="8" fillId="0" borderId="8" xfId="0" applyFont="1" applyFill="1" applyBorder="1" applyAlignment="1" applyProtection="1">
      <alignment horizontal="left"/>
    </xf>
    <xf numFmtId="0" fontId="4" fillId="0" borderId="24" xfId="0" applyFont="1" applyFill="1" applyBorder="1" applyAlignment="1" applyProtection="1">
      <alignment horizontal="center"/>
    </xf>
    <xf numFmtId="0" fontId="4" fillId="0" borderId="22" xfId="0" applyFont="1" applyFill="1" applyBorder="1" applyAlignment="1" applyProtection="1">
      <alignment horizontal="center"/>
    </xf>
    <xf numFmtId="0" fontId="4" fillId="0" borderId="25" xfId="0" applyFont="1" applyFill="1" applyBorder="1" applyAlignment="1" applyProtection="1">
      <alignment horizontal="center"/>
    </xf>
    <xf numFmtId="0" fontId="26" fillId="3" borderId="0" xfId="0" applyFont="1" applyFill="1" applyBorder="1" applyAlignment="1">
      <alignment horizontal="center"/>
    </xf>
    <xf numFmtId="0" fontId="26" fillId="3" borderId="5" xfId="0" applyFont="1" applyFill="1" applyBorder="1" applyAlignment="1">
      <alignment horizontal="center"/>
    </xf>
    <xf numFmtId="0" fontId="13" fillId="0" borderId="0" xfId="0" applyFont="1" applyFill="1" applyBorder="1" applyAlignment="1">
      <alignment horizontal="center"/>
    </xf>
    <xf numFmtId="0" fontId="13" fillId="0" borderId="5" xfId="0" applyFont="1" applyFill="1" applyBorder="1" applyAlignment="1">
      <alignment horizontal="center"/>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5" xfId="0" applyFont="1" applyFill="1" applyBorder="1" applyAlignment="1">
      <alignment horizontal="center" vertical="center"/>
    </xf>
    <xf numFmtId="0" fontId="2" fillId="0" borderId="37" xfId="0" applyFont="1" applyFill="1" applyBorder="1" applyAlignment="1">
      <alignment horizontal="center"/>
    </xf>
    <xf numFmtId="0" fontId="2" fillId="0" borderId="38" xfId="0" applyFont="1" applyFill="1" applyBorder="1" applyAlignment="1">
      <alignment horizontal="center"/>
    </xf>
    <xf numFmtId="0" fontId="0" fillId="0" borderId="27" xfId="0" applyFont="1" applyFill="1" applyBorder="1" applyAlignment="1">
      <alignment horizontal="center"/>
    </xf>
    <xf numFmtId="0" fontId="0" fillId="0" borderId="0" xfId="0" applyFont="1" applyFill="1" applyBorder="1" applyAlignment="1">
      <alignment horizontal="center"/>
    </xf>
    <xf numFmtId="0" fontId="0" fillId="0" borderId="5" xfId="0" applyFont="1" applyFill="1" applyBorder="1" applyAlignment="1">
      <alignment horizontal="center"/>
    </xf>
    <xf numFmtId="0" fontId="25" fillId="3" borderId="31" xfId="0" applyFont="1" applyFill="1" applyBorder="1" applyAlignment="1">
      <alignment horizontal="center"/>
    </xf>
    <xf numFmtId="0" fontId="25" fillId="3" borderId="28" xfId="0" applyFont="1" applyFill="1" applyBorder="1" applyAlignment="1">
      <alignment horizontal="center"/>
    </xf>
    <xf numFmtId="0" fontId="25" fillId="3" borderId="33" xfId="0" applyFont="1" applyFill="1" applyBorder="1" applyAlignment="1">
      <alignment horizontal="center"/>
    </xf>
    <xf numFmtId="0" fontId="0" fillId="3" borderId="0" xfId="0" applyFont="1" applyFill="1" applyAlignment="1">
      <alignment horizontal="right"/>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2" fillId="0" borderId="1" xfId="0" applyFont="1" applyFill="1" applyBorder="1" applyAlignment="1">
      <alignment horizontal="center"/>
    </xf>
    <xf numFmtId="0" fontId="2" fillId="0" borderId="2" xfId="0" applyFont="1" applyFill="1" applyBorder="1" applyAlignment="1">
      <alignment horizontal="center"/>
    </xf>
    <xf numFmtId="0" fontId="2" fillId="0" borderId="3" xfId="0" applyFont="1" applyFill="1" applyBorder="1" applyAlignment="1">
      <alignment horizont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27" fillId="0" borderId="57" xfId="0" applyFont="1" applyFill="1" applyBorder="1" applyAlignment="1">
      <alignment horizontal="center" vertical="center"/>
    </xf>
    <xf numFmtId="0" fontId="27" fillId="0" borderId="58" xfId="0" applyFont="1" applyFill="1" applyBorder="1" applyAlignment="1">
      <alignment horizontal="center" vertical="center"/>
    </xf>
    <xf numFmtId="0" fontId="5" fillId="3" borderId="10" xfId="0" applyFont="1" applyFill="1" applyBorder="1" applyAlignment="1">
      <alignment horizontal="center"/>
    </xf>
    <xf numFmtId="0" fontId="5" fillId="3" borderId="56" xfId="0" applyFont="1" applyFill="1" applyBorder="1" applyAlignment="1">
      <alignment horizontal="center"/>
    </xf>
    <xf numFmtId="0" fontId="5" fillId="3" borderId="51" xfId="0" applyFont="1" applyFill="1" applyBorder="1" applyAlignment="1">
      <alignment horizontal="center"/>
    </xf>
    <xf numFmtId="0" fontId="0" fillId="0" borderId="51" xfId="0" applyFill="1" applyBorder="1" applyAlignment="1">
      <alignment horizontal="center"/>
    </xf>
    <xf numFmtId="0" fontId="0" fillId="0" borderId="10" xfId="0" applyFill="1" applyBorder="1" applyAlignment="1">
      <alignment horizontal="center"/>
    </xf>
    <xf numFmtId="0" fontId="2" fillId="3" borderId="9" xfId="0" applyFont="1" applyFill="1" applyBorder="1" applyAlignment="1">
      <alignment horizontal="center"/>
    </xf>
    <xf numFmtId="0" fontId="2" fillId="3" borderId="10" xfId="0" applyFont="1" applyFill="1" applyBorder="1" applyAlignment="1">
      <alignment horizontal="center"/>
    </xf>
    <xf numFmtId="0" fontId="2" fillId="3" borderId="11" xfId="0" applyFont="1" applyFill="1" applyBorder="1" applyAlignment="1">
      <alignment horizontal="center"/>
    </xf>
    <xf numFmtId="0" fontId="5" fillId="0" borderId="4" xfId="0" applyFont="1" applyFill="1" applyBorder="1" applyAlignment="1">
      <alignment horizontal="center" vertical="center" textRotation="90"/>
    </xf>
    <xf numFmtId="0" fontId="5" fillId="0" borderId="6" xfId="0" applyFont="1" applyFill="1" applyBorder="1" applyAlignment="1">
      <alignment horizontal="center" vertical="center" textRotation="90"/>
    </xf>
    <xf numFmtId="0" fontId="0" fillId="0" borderId="13"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7" xfId="0" applyFont="1" applyFill="1" applyBorder="1" applyAlignment="1">
      <alignment horizontal="center" vertical="center"/>
    </xf>
    <xf numFmtId="44" fontId="0" fillId="0" borderId="3" xfId="0" applyNumberFormat="1" applyFont="1" applyFill="1" applyBorder="1" applyAlignment="1">
      <alignment vertical="center"/>
    </xf>
    <xf numFmtId="0" fontId="0" fillId="0" borderId="5" xfId="0" applyFont="1" applyFill="1" applyBorder="1" applyAlignment="1">
      <alignment vertical="center"/>
    </xf>
    <xf numFmtId="0" fontId="0" fillId="0" borderId="8" xfId="0" applyFont="1" applyFill="1" applyBorder="1" applyAlignment="1">
      <alignment vertical="center"/>
    </xf>
    <xf numFmtId="44" fontId="0" fillId="0" borderId="13" xfId="0" applyNumberFormat="1" applyFont="1" applyFill="1" applyBorder="1" applyAlignment="1">
      <alignment vertical="center"/>
    </xf>
    <xf numFmtId="0" fontId="0" fillId="0" borderId="0" xfId="0" applyFont="1" applyFill="1" applyBorder="1" applyAlignment="1">
      <alignment vertical="center"/>
    </xf>
    <xf numFmtId="0" fontId="0" fillId="0" borderId="22" xfId="0" applyFont="1" applyFill="1" applyBorder="1" applyAlignment="1">
      <alignment vertical="center"/>
    </xf>
    <xf numFmtId="44" fontId="0" fillId="0" borderId="0" xfId="0" applyNumberFormat="1" applyFont="1" applyFill="1" applyBorder="1" applyAlignment="1">
      <alignment vertical="center"/>
    </xf>
    <xf numFmtId="0" fontId="0" fillId="0" borderId="7" xfId="0" applyFont="1" applyFill="1" applyBorder="1" applyAlignment="1">
      <alignment vertical="center"/>
    </xf>
    <xf numFmtId="0" fontId="0" fillId="0" borderId="2"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6"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44" fontId="0" fillId="0" borderId="3" xfId="0" applyNumberFormat="1" applyFont="1" applyFill="1" applyBorder="1" applyAlignment="1">
      <alignment horizontal="center" vertical="center"/>
    </xf>
    <xf numFmtId="44" fontId="0" fillId="0" borderId="5" xfId="0" applyNumberFormat="1" applyFont="1" applyFill="1" applyBorder="1" applyAlignment="1">
      <alignment horizontal="center" vertical="center"/>
    </xf>
    <xf numFmtId="44" fontId="0" fillId="0" borderId="8" xfId="0" applyNumberFormat="1" applyFont="1" applyFill="1" applyBorder="1" applyAlignment="1">
      <alignment horizontal="center" vertical="center"/>
    </xf>
    <xf numFmtId="44" fontId="0" fillId="0" borderId="13" xfId="0" applyNumberFormat="1" applyFont="1" applyFill="1" applyBorder="1" applyAlignment="1">
      <alignment horizontal="center" vertical="center"/>
    </xf>
    <xf numFmtId="44" fontId="0" fillId="0" borderId="0" xfId="0" applyNumberFormat="1" applyFont="1" applyFill="1" applyBorder="1" applyAlignment="1">
      <alignment horizontal="center" vertical="center"/>
    </xf>
    <xf numFmtId="44" fontId="0" fillId="0" borderId="22" xfId="0" applyNumberFormat="1" applyFont="1" applyFill="1" applyBorder="1" applyAlignment="1">
      <alignment horizontal="center" vertical="center"/>
    </xf>
    <xf numFmtId="44" fontId="0" fillId="0" borderId="2" xfId="0" applyNumberFormat="1" applyFont="1" applyFill="1" applyBorder="1" applyAlignment="1">
      <alignment vertical="center"/>
    </xf>
    <xf numFmtId="44" fontId="0" fillId="0" borderId="14" xfId="0" applyNumberFormat="1" applyFont="1" applyFill="1" applyBorder="1" applyAlignment="1">
      <alignment horizontal="center" vertical="center"/>
    </xf>
    <xf numFmtId="44" fontId="0" fillId="0" borderId="25" xfId="0" applyNumberFormat="1" applyFont="1" applyFill="1" applyBorder="1" applyAlignment="1">
      <alignment horizontal="center" vertical="center"/>
    </xf>
    <xf numFmtId="0" fontId="17" fillId="0" borderId="15" xfId="0" applyFont="1" applyFill="1" applyBorder="1" applyAlignment="1">
      <alignment horizontal="center"/>
    </xf>
    <xf numFmtId="0" fontId="17" fillId="0" borderId="16" xfId="0" applyFont="1" applyFill="1" applyBorder="1" applyAlignment="1">
      <alignment horizontal="center"/>
    </xf>
    <xf numFmtId="0" fontId="17" fillId="0" borderId="17" xfId="0" applyFont="1" applyFill="1" applyBorder="1" applyAlignment="1">
      <alignment horizontal="center"/>
    </xf>
    <xf numFmtId="0" fontId="0" fillId="0" borderId="12" xfId="0" applyFont="1" applyFill="1" applyBorder="1" applyAlignment="1">
      <alignment horizontal="center" vertical="center"/>
    </xf>
    <xf numFmtId="0" fontId="2" fillId="0" borderId="31" xfId="0" applyFont="1" applyFill="1" applyBorder="1" applyAlignment="1">
      <alignment horizontal="center"/>
    </xf>
    <xf numFmtId="0" fontId="2" fillId="0" borderId="28" xfId="0" applyFont="1" applyFill="1" applyBorder="1" applyAlignment="1">
      <alignment horizontal="center"/>
    </xf>
    <xf numFmtId="0" fontId="2" fillId="0" borderId="33" xfId="0" applyFont="1" applyFill="1" applyBorder="1" applyAlignment="1">
      <alignment horizontal="center"/>
    </xf>
    <xf numFmtId="0" fontId="5" fillId="0" borderId="15"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40" xfId="0" applyFont="1" applyFill="1" applyBorder="1" applyAlignment="1">
      <alignment horizontal="center" vertical="center"/>
    </xf>
    <xf numFmtId="0" fontId="5" fillId="0" borderId="45" xfId="0" applyFont="1" applyFill="1" applyBorder="1" applyAlignment="1">
      <alignment horizontal="center" vertical="center"/>
    </xf>
    <xf numFmtId="0" fontId="5" fillId="0" borderId="42" xfId="0" applyFont="1" applyFill="1" applyBorder="1" applyAlignment="1">
      <alignment horizontal="center" vertical="center"/>
    </xf>
    <xf numFmtId="0" fontId="19" fillId="3" borderId="0" xfId="0" applyFont="1" applyFill="1" applyAlignment="1">
      <alignment horizontal="center"/>
    </xf>
    <xf numFmtId="0" fontId="0" fillId="0" borderId="0" xfId="0" applyFont="1" applyFill="1" applyBorder="1" applyAlignment="1">
      <alignment horizontal="left" vertical="center"/>
    </xf>
    <xf numFmtId="0" fontId="0" fillId="0" borderId="7" xfId="0" applyFont="1" applyFill="1" applyBorder="1" applyAlignment="1">
      <alignment horizontal="left" vertical="center"/>
    </xf>
    <xf numFmtId="0" fontId="0" fillId="0" borderId="13" xfId="0" applyFont="1" applyFill="1" applyBorder="1" applyAlignment="1">
      <alignment horizontal="left" vertical="center"/>
    </xf>
    <xf numFmtId="0" fontId="0" fillId="0" borderId="22" xfId="0" applyFont="1" applyFill="1" applyBorder="1" applyAlignment="1">
      <alignment horizontal="left" vertical="center"/>
    </xf>
    <xf numFmtId="0" fontId="0" fillId="0" borderId="2" xfId="0" applyFont="1" applyFill="1" applyBorder="1" applyAlignment="1">
      <alignment horizontal="left" vertical="center"/>
    </xf>
    <xf numFmtId="0" fontId="13" fillId="0" borderId="2" xfId="0" applyFont="1" applyFill="1" applyBorder="1" applyAlignment="1">
      <alignment horizontal="left" vertical="center"/>
    </xf>
    <xf numFmtId="0" fontId="13" fillId="0" borderId="7" xfId="0" applyFont="1" applyFill="1" applyBorder="1" applyAlignment="1">
      <alignment horizontal="left" vertical="center"/>
    </xf>
    <xf numFmtId="44" fontId="0" fillId="0" borderId="2" xfId="0" applyNumberFormat="1" applyFont="1" applyFill="1" applyBorder="1" applyAlignment="1">
      <alignment horizontal="center" vertical="center"/>
    </xf>
    <xf numFmtId="44" fontId="0" fillId="0" borderId="7" xfId="0" applyNumberFormat="1" applyFont="1" applyFill="1" applyBorder="1" applyAlignment="1">
      <alignment horizontal="center" vertical="center"/>
    </xf>
    <xf numFmtId="44" fontId="0" fillId="0" borderId="3" xfId="1" applyFont="1" applyFill="1" applyBorder="1" applyAlignment="1">
      <alignment horizontal="center" vertical="center"/>
    </xf>
    <xf numFmtId="44" fontId="0" fillId="0" borderId="5" xfId="1" applyFont="1" applyFill="1" applyBorder="1" applyAlignment="1">
      <alignment horizontal="center" vertical="center"/>
    </xf>
    <xf numFmtId="44" fontId="0" fillId="0" borderId="8" xfId="1" applyFont="1" applyFill="1" applyBorder="1" applyAlignment="1">
      <alignment horizontal="center" vertical="center"/>
    </xf>
    <xf numFmtId="0" fontId="2" fillId="0" borderId="9" xfId="0" applyFont="1" applyFill="1" applyBorder="1" applyAlignment="1">
      <alignment horizontal="center"/>
    </xf>
    <xf numFmtId="0" fontId="2" fillId="0" borderId="10" xfId="0" applyFont="1" applyFill="1" applyBorder="1" applyAlignment="1">
      <alignment horizontal="center"/>
    </xf>
    <xf numFmtId="0" fontId="2" fillId="0" borderId="11" xfId="0" applyFont="1" applyFill="1" applyBorder="1" applyAlignment="1">
      <alignment horizontal="center"/>
    </xf>
    <xf numFmtId="44" fontId="13" fillId="0" borderId="5" xfId="1" quotePrefix="1" applyFont="1" applyFill="1" applyBorder="1" applyAlignment="1" applyProtection="1">
      <alignment horizontal="center"/>
      <protection locked="0"/>
    </xf>
    <xf numFmtId="0" fontId="12" fillId="0" borderId="1" xfId="0" applyFont="1" applyFill="1" applyBorder="1"/>
    <xf numFmtId="164" fontId="13" fillId="0" borderId="2" xfId="0" applyNumberFormat="1" applyFont="1" applyFill="1" applyBorder="1" applyAlignment="1">
      <alignment horizontal="center" wrapText="1"/>
    </xf>
    <xf numFmtId="1" fontId="13" fillId="0" borderId="2" xfId="2" applyNumberFormat="1" applyFont="1" applyFill="1" applyBorder="1" applyAlignment="1">
      <alignment horizontal="center" wrapText="1"/>
    </xf>
    <xf numFmtId="9" fontId="13" fillId="0" borderId="3" xfId="2" applyFont="1" applyFill="1" applyBorder="1" applyAlignment="1">
      <alignment horizontal="center" wrapText="1"/>
    </xf>
    <xf numFmtId="9" fontId="19" fillId="4" borderId="7" xfId="0" applyNumberFormat="1" applyFont="1" applyFill="1" applyBorder="1" applyAlignment="1" applyProtection="1">
      <alignment horizontal="center"/>
      <protection locked="0"/>
    </xf>
    <xf numFmtId="44" fontId="13" fillId="0" borderId="7" xfId="1" applyFont="1" applyFill="1" applyBorder="1" applyAlignment="1" applyProtection="1">
      <alignment horizontal="center"/>
      <protection locked="0"/>
    </xf>
    <xf numFmtId="44" fontId="13" fillId="0" borderId="8" xfId="1" applyFont="1" applyFill="1" applyBorder="1" applyAlignment="1" applyProtection="1">
      <alignment horizontal="center"/>
      <protection locked="0"/>
    </xf>
  </cellXfs>
  <cellStyles count="5">
    <cellStyle name="Comma" xfId="4" builtinId="3"/>
    <cellStyle name="Currency" xfId="1" builtinId="4"/>
    <cellStyle name="Hyperlink" xfId="3" builtinId="8"/>
    <cellStyle name="Normal" xfId="0" builtinId="0"/>
    <cellStyle name="Percent" xfId="2" builtinId="5"/>
  </cellStyles>
  <dxfs count="32">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rgb="FFFFC7CE"/>
        </patternFill>
      </fill>
    </dxf>
    <dxf>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n-US"/>
              <a:t>Estimated Per Acre Cost of Establishment &amp; Development</a:t>
            </a:r>
          </a:p>
          <a:p>
            <a:pPr>
              <a:defRPr/>
            </a:pPr>
            <a:endParaRPr lang="en-US"/>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en-U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'V. Establishment &amp; Dev Results'!$O$13</c:f>
              <c:strCache>
                <c:ptCount val="1"/>
                <c:pt idx="0">
                  <c:v>Per Acre Cost</c:v>
                </c:pt>
              </c:strCache>
            </c:strRef>
          </c:tx>
          <c:dPt>
            <c:idx val="0"/>
            <c:bubble3D val="0"/>
            <c:spPr>
              <a:gradFill rotWithShape="1">
                <a:gsLst>
                  <a:gs pos="0">
                    <a:schemeClr val="accent6">
                      <a:shade val="53000"/>
                      <a:satMod val="103000"/>
                      <a:lumMod val="102000"/>
                      <a:tint val="94000"/>
                    </a:schemeClr>
                  </a:gs>
                  <a:gs pos="50000">
                    <a:schemeClr val="accent6">
                      <a:shade val="53000"/>
                      <a:satMod val="110000"/>
                      <a:lumMod val="100000"/>
                      <a:shade val="100000"/>
                    </a:schemeClr>
                  </a:gs>
                  <a:gs pos="100000">
                    <a:schemeClr val="accent6">
                      <a:shade val="53000"/>
                      <a:lumMod val="99000"/>
                      <a:satMod val="120000"/>
                      <a:shade val="78000"/>
                    </a:schemeClr>
                  </a:gs>
                </a:gsLst>
                <a:lin ang="5400000" scaled="0"/>
              </a:gradFill>
              <a:ln>
                <a:noFill/>
              </a:ln>
              <a:effectLst/>
              <a:sp3d/>
            </c:spPr>
            <c:extLst>
              <c:ext xmlns:c16="http://schemas.microsoft.com/office/drawing/2014/chart" uri="{C3380CC4-5D6E-409C-BE32-E72D297353CC}">
                <c16:uniqueId val="{00000001-79F5-F743-A4A9-32B31BBE1395}"/>
              </c:ext>
            </c:extLst>
          </c:dPt>
          <c:dPt>
            <c:idx val="1"/>
            <c:bubble3D val="0"/>
            <c:spPr>
              <a:gradFill rotWithShape="1">
                <a:gsLst>
                  <a:gs pos="0">
                    <a:schemeClr val="accent6">
                      <a:shade val="76000"/>
                      <a:satMod val="103000"/>
                      <a:lumMod val="102000"/>
                      <a:tint val="94000"/>
                    </a:schemeClr>
                  </a:gs>
                  <a:gs pos="50000">
                    <a:schemeClr val="accent6">
                      <a:shade val="76000"/>
                      <a:satMod val="110000"/>
                      <a:lumMod val="100000"/>
                      <a:shade val="100000"/>
                    </a:schemeClr>
                  </a:gs>
                  <a:gs pos="100000">
                    <a:schemeClr val="accent6">
                      <a:shade val="76000"/>
                      <a:lumMod val="99000"/>
                      <a:satMod val="120000"/>
                      <a:shade val="78000"/>
                    </a:schemeClr>
                  </a:gs>
                </a:gsLst>
                <a:lin ang="5400000" scaled="0"/>
              </a:gradFill>
              <a:ln>
                <a:noFill/>
              </a:ln>
              <a:effectLst/>
              <a:sp3d/>
            </c:spPr>
            <c:extLst>
              <c:ext xmlns:c16="http://schemas.microsoft.com/office/drawing/2014/chart" uri="{C3380CC4-5D6E-409C-BE32-E72D297353CC}">
                <c16:uniqueId val="{00000003-79F5-F743-A4A9-32B31BBE1395}"/>
              </c:ext>
            </c:extLst>
          </c:dPt>
          <c:dPt>
            <c:idx val="2"/>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sp3d/>
            </c:spPr>
            <c:extLst>
              <c:ext xmlns:c16="http://schemas.microsoft.com/office/drawing/2014/chart" uri="{C3380CC4-5D6E-409C-BE32-E72D297353CC}">
                <c16:uniqueId val="{00000005-79F5-F743-A4A9-32B31BBE1395}"/>
              </c:ext>
            </c:extLst>
          </c:dPt>
          <c:dPt>
            <c:idx val="3"/>
            <c:bubble3D val="0"/>
            <c:spPr>
              <a:gradFill rotWithShape="1">
                <a:gsLst>
                  <a:gs pos="0">
                    <a:schemeClr val="accent6">
                      <a:tint val="77000"/>
                      <a:satMod val="103000"/>
                      <a:lumMod val="102000"/>
                      <a:tint val="94000"/>
                    </a:schemeClr>
                  </a:gs>
                  <a:gs pos="50000">
                    <a:schemeClr val="accent6">
                      <a:tint val="77000"/>
                      <a:satMod val="110000"/>
                      <a:lumMod val="100000"/>
                      <a:shade val="100000"/>
                    </a:schemeClr>
                  </a:gs>
                  <a:gs pos="100000">
                    <a:schemeClr val="accent6">
                      <a:tint val="77000"/>
                      <a:lumMod val="99000"/>
                      <a:satMod val="120000"/>
                      <a:shade val="78000"/>
                    </a:schemeClr>
                  </a:gs>
                </a:gsLst>
                <a:lin ang="5400000" scaled="0"/>
              </a:gradFill>
              <a:ln>
                <a:noFill/>
              </a:ln>
              <a:effectLst/>
              <a:sp3d/>
            </c:spPr>
            <c:extLst>
              <c:ext xmlns:c16="http://schemas.microsoft.com/office/drawing/2014/chart" uri="{C3380CC4-5D6E-409C-BE32-E72D297353CC}">
                <c16:uniqueId val="{00000007-79F5-F743-A4A9-32B31BBE1395}"/>
              </c:ext>
            </c:extLst>
          </c:dPt>
          <c:dPt>
            <c:idx val="4"/>
            <c:bubble3D val="0"/>
            <c:spPr>
              <a:gradFill rotWithShape="1">
                <a:gsLst>
                  <a:gs pos="0">
                    <a:schemeClr val="accent6">
                      <a:tint val="54000"/>
                      <a:satMod val="103000"/>
                      <a:lumMod val="102000"/>
                      <a:tint val="94000"/>
                    </a:schemeClr>
                  </a:gs>
                  <a:gs pos="50000">
                    <a:schemeClr val="accent6">
                      <a:tint val="54000"/>
                      <a:satMod val="110000"/>
                      <a:lumMod val="100000"/>
                      <a:shade val="100000"/>
                    </a:schemeClr>
                  </a:gs>
                  <a:gs pos="100000">
                    <a:schemeClr val="accent6">
                      <a:tint val="54000"/>
                      <a:lumMod val="99000"/>
                      <a:satMod val="120000"/>
                      <a:shade val="78000"/>
                    </a:schemeClr>
                  </a:gs>
                </a:gsLst>
                <a:lin ang="5400000" scaled="0"/>
              </a:gradFill>
              <a:ln>
                <a:noFill/>
              </a:ln>
              <a:effectLst/>
              <a:sp3d/>
            </c:spPr>
            <c:extLst>
              <c:ext xmlns:c16="http://schemas.microsoft.com/office/drawing/2014/chart" uri="{C3380CC4-5D6E-409C-BE32-E72D297353CC}">
                <c16:uniqueId val="{00000009-79F5-F743-A4A9-32B31BBE1395}"/>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showLegendKey val="0"/>
            <c:showVal val="0"/>
            <c:showCatName val="1"/>
            <c:showSerName val="0"/>
            <c:showPercent val="1"/>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Ref>
              <c:f>'V. Establishment &amp; Dev Results'!$N$14:$N$18</c:f>
              <c:strCache>
                <c:ptCount val="5"/>
                <c:pt idx="0">
                  <c:v>Site Preparation</c:v>
                </c:pt>
                <c:pt idx="1">
                  <c:v>Year 1</c:v>
                </c:pt>
                <c:pt idx="2">
                  <c:v>Year 2</c:v>
                </c:pt>
                <c:pt idx="3">
                  <c:v>Year 3</c:v>
                </c:pt>
                <c:pt idx="4">
                  <c:v>Machinery Cost</c:v>
                </c:pt>
              </c:strCache>
            </c:strRef>
          </c:cat>
          <c:val>
            <c:numRef>
              <c:f>'V. Establishment &amp; Dev Results'!$O$14:$O$18</c:f>
              <c:numCache>
                <c:formatCode>"$"#,##0</c:formatCode>
                <c:ptCount val="5"/>
                <c:pt idx="0">
                  <c:v>806.42560333333347</c:v>
                </c:pt>
                <c:pt idx="1">
                  <c:v>12279.402592666667</c:v>
                </c:pt>
                <c:pt idx="2">
                  <c:v>1306.1809409999998</c:v>
                </c:pt>
                <c:pt idx="3">
                  <c:v>3064.0229557500002</c:v>
                </c:pt>
                <c:pt idx="4" formatCode="_(&quot;$&quot;* #,##0.00_);_(&quot;$&quot;* \(#,##0.00\);_(&quot;$&quot;* &quot;-&quot;??_);_(@_)">
                  <c:v>10623.5</c:v>
                </c:pt>
              </c:numCache>
            </c:numRef>
          </c:val>
          <c:extLst>
            <c:ext xmlns:c16="http://schemas.microsoft.com/office/drawing/2014/chart" uri="{C3380CC4-5D6E-409C-BE32-E72D297353CC}">
              <c16:uniqueId val="{00000000-7D23-104C-AC55-A72C46357763}"/>
            </c:ext>
          </c:extLst>
        </c:ser>
        <c:dLbls>
          <c:showLegendKey val="0"/>
          <c:showVal val="0"/>
          <c:showCatName val="1"/>
          <c:showSerName val="0"/>
          <c:showPercent val="1"/>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overlay val="0"/>
      <c:spPr>
        <a:noFill/>
        <a:ln>
          <a:noFill/>
        </a:ln>
        <a:effectLst/>
      </c:spPr>
      <c:txPr>
        <a:bodyPr rot="0" spcFirstLastPara="1" vertOverflow="ellipsis" vert="horz" wrap="square" anchor="ctr" anchorCtr="1"/>
        <a:lstStyle/>
        <a:p>
          <a:pPr>
            <a:defRPr sz="2000" b="0" i="0" u="none" strike="noStrike" kern="1200" cap="none" spc="0" normalizeH="0" baseline="0">
              <a:solidFill>
                <a:schemeClr val="tx1">
                  <a:lumMod val="65000"/>
                  <a:lumOff val="35000"/>
                </a:schemeClr>
              </a:solidFill>
              <a:latin typeface="+mj-lt"/>
              <a:ea typeface="+mj-ea"/>
              <a:cs typeface="+mj-cs"/>
            </a:defRPr>
          </a:pPr>
          <a:endParaRPr lang="en-US"/>
        </a:p>
      </c:txPr>
    </c:title>
    <c:autoTitleDeleted val="0"/>
    <c:plotArea>
      <c:layout/>
      <c:lineChart>
        <c:grouping val="standard"/>
        <c:varyColors val="0"/>
        <c:ser>
          <c:idx val="0"/>
          <c:order val="0"/>
          <c:tx>
            <c:strRef>
              <c:f>'Mature Vineyard Results'!$K$23</c:f>
              <c:strCache>
                <c:ptCount val="1"/>
                <c:pt idx="0">
                  <c:v>Cumulative Income</c:v>
                </c:pt>
              </c:strCache>
            </c:strRef>
          </c:tx>
          <c:spPr>
            <a:ln w="38100" cap="rnd">
              <a:solidFill>
                <a:schemeClr val="accent1"/>
              </a:solidFill>
              <a:round/>
            </a:ln>
            <a:effectLst/>
          </c:spPr>
          <c:marker>
            <c:symbol val="none"/>
          </c:marker>
          <c:cat>
            <c:numRef>
              <c:f>'Mature Vineyard Results'!$L$15:$AK$15</c:f>
              <c:numCache>
                <c:formatCode>General</c:formatCode>
                <c:ptCount val="26"/>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numCache>
            </c:numRef>
          </c:cat>
          <c:val>
            <c:numRef>
              <c:f>'Mature Vineyard Results'!$L$23:$AK$23</c:f>
              <c:numCache>
                <c:formatCode>_("$"* #,##0_);_("$"* \(#,##0\);_("$"* "-"_);_(@_)</c:formatCode>
                <c:ptCount val="26"/>
                <c:pt idx="1">
                  <c:v>-14839.026846093906</c:v>
                </c:pt>
                <c:pt idx="2">
                  <c:v>-17990.187824920627</c:v>
                </c:pt>
                <c:pt idx="3">
                  <c:v>-18873.060908304651</c:v>
                </c:pt>
                <c:pt idx="4">
                  <c:v>-18059.516128294465</c:v>
                </c:pt>
                <c:pt idx="5">
                  <c:v>-17245.971348284278</c:v>
                </c:pt>
                <c:pt idx="6">
                  <c:v>-16432.426568274092</c:v>
                </c:pt>
                <c:pt idx="7">
                  <c:v>-15618.881788263905</c:v>
                </c:pt>
                <c:pt idx="8">
                  <c:v>-14805.337008253719</c:v>
                </c:pt>
                <c:pt idx="9">
                  <c:v>-13991.792228243532</c:v>
                </c:pt>
                <c:pt idx="10">
                  <c:v>-13178.247448233345</c:v>
                </c:pt>
                <c:pt idx="11">
                  <c:v>-12364.702668223159</c:v>
                </c:pt>
                <c:pt idx="12">
                  <c:v>-11551.157888212972</c:v>
                </c:pt>
                <c:pt idx="13">
                  <c:v>-10737.613108202786</c:v>
                </c:pt>
                <c:pt idx="14">
                  <c:v>-9924.0683281925994</c:v>
                </c:pt>
                <c:pt idx="15">
                  <c:v>-9110.5235481824129</c:v>
                </c:pt>
                <c:pt idx="16">
                  <c:v>-8296.9787681722264</c:v>
                </c:pt>
                <c:pt idx="17">
                  <c:v>-7483.4339881620399</c:v>
                </c:pt>
                <c:pt idx="18">
                  <c:v>-6669.8892081518534</c:v>
                </c:pt>
                <c:pt idx="19">
                  <c:v>-5856.3444281416669</c:v>
                </c:pt>
                <c:pt idx="20">
                  <c:v>-5042.7996481314804</c:v>
                </c:pt>
                <c:pt idx="21">
                  <c:v>-4229.2548681212938</c:v>
                </c:pt>
                <c:pt idx="22">
                  <c:v>-3415.7100881111073</c:v>
                </c:pt>
                <c:pt idx="23">
                  <c:v>-2602.1653081009208</c:v>
                </c:pt>
                <c:pt idx="24">
                  <c:v>-1788.6205280907343</c:v>
                </c:pt>
                <c:pt idx="25">
                  <c:v>-975.07574808054778</c:v>
                </c:pt>
              </c:numCache>
            </c:numRef>
          </c:val>
          <c:smooth val="0"/>
          <c:extLst>
            <c:ext xmlns:c16="http://schemas.microsoft.com/office/drawing/2014/chart" uri="{C3380CC4-5D6E-409C-BE32-E72D297353CC}">
              <c16:uniqueId val="{00000000-E9F0-DE49-B115-4E64D8D27DB1}"/>
            </c:ext>
          </c:extLst>
        </c:ser>
        <c:dLbls>
          <c:showLegendKey val="0"/>
          <c:showVal val="0"/>
          <c:showCatName val="0"/>
          <c:showSerName val="0"/>
          <c:showPercent val="0"/>
          <c:showBubbleSize val="0"/>
        </c:dLbls>
        <c:smooth val="0"/>
        <c:axId val="1676313599"/>
        <c:axId val="1676302559"/>
      </c:lineChart>
      <c:catAx>
        <c:axId val="1676313599"/>
        <c:scaling>
          <c:orientation val="minMax"/>
        </c:scaling>
        <c:delete val="0"/>
        <c:axPos val="b"/>
        <c:title>
          <c:tx>
            <c:rich>
              <a:bodyPr rot="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r>
                  <a:rPr lang="en-US"/>
                  <a:t>Year</a:t>
                </a:r>
              </a:p>
            </c:rich>
          </c:tx>
          <c:overlay val="0"/>
          <c:spPr>
            <a:noFill/>
            <a:ln>
              <a:noFill/>
            </a:ln>
            <a:effectLst/>
          </c:spPr>
          <c:txPr>
            <a:bodyPr rot="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mn-lt"/>
                <a:ea typeface="+mn-ea"/>
                <a:cs typeface="+mn-cs"/>
              </a:defRPr>
            </a:pPr>
            <a:endParaRPr lang="en-US"/>
          </a:p>
        </c:txPr>
        <c:crossAx val="1676302559"/>
        <c:crosses val="autoZero"/>
        <c:auto val="1"/>
        <c:lblAlgn val="ctr"/>
        <c:lblOffset val="100"/>
        <c:noMultiLvlLbl val="0"/>
      </c:catAx>
      <c:valAx>
        <c:axId val="1676302559"/>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title>
          <c:tx>
            <c:rich>
              <a:bodyPr rot="-540000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r>
                  <a:rPr lang="en-US"/>
                  <a:t>Cumulative Income</a:t>
                </a:r>
              </a:p>
            </c:rich>
          </c:tx>
          <c:overlay val="0"/>
          <c:spPr>
            <a:noFill/>
            <a:ln>
              <a:noFill/>
            </a:ln>
            <a:effectLst/>
          </c:spPr>
          <c:txPr>
            <a:bodyPr rot="-540000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endParaRPr lang="en-US"/>
            </a:p>
          </c:txPr>
        </c:title>
        <c:numFmt formatCode="&quot;$&quot;#,##0_);[Red]\(&quot;$&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76313599"/>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cap="none" spc="0" normalizeH="0" baseline="0">
                <a:solidFill>
                  <a:schemeClr val="tx1">
                    <a:lumMod val="65000"/>
                    <a:lumOff val="35000"/>
                  </a:schemeClr>
                </a:solidFill>
                <a:latin typeface="+mj-lt"/>
                <a:ea typeface="+mj-ea"/>
                <a:cs typeface="+mj-cs"/>
              </a:defRPr>
            </a:pPr>
            <a:r>
              <a:rPr lang="en-US"/>
              <a:t>Average Yearly Income</a:t>
            </a:r>
          </a:p>
        </c:rich>
      </c:tx>
      <c:overlay val="0"/>
      <c:spPr>
        <a:noFill/>
        <a:ln>
          <a:noFill/>
        </a:ln>
        <a:effectLst/>
      </c:spPr>
      <c:txPr>
        <a:bodyPr rot="0" spcFirstLastPara="1" vertOverflow="ellipsis" vert="horz" wrap="square" anchor="ctr" anchorCtr="1"/>
        <a:lstStyle/>
        <a:p>
          <a:pPr>
            <a:defRPr sz="2000" b="0" i="0" u="none" strike="noStrike" kern="1200" cap="none" spc="0" normalizeH="0" baseline="0">
              <a:solidFill>
                <a:schemeClr val="tx1">
                  <a:lumMod val="65000"/>
                  <a:lumOff val="35000"/>
                </a:schemeClr>
              </a:solidFill>
              <a:latin typeface="+mj-lt"/>
              <a:ea typeface="+mj-ea"/>
              <a:cs typeface="+mj-cs"/>
            </a:defRPr>
          </a:pPr>
          <a:endParaRPr lang="en-US"/>
        </a:p>
      </c:txPr>
    </c:title>
    <c:autoTitleDeleted val="0"/>
    <c:plotArea>
      <c:layout/>
      <c:lineChart>
        <c:grouping val="standard"/>
        <c:varyColors val="0"/>
        <c:ser>
          <c:idx val="0"/>
          <c:order val="0"/>
          <c:tx>
            <c:strRef>
              <c:f>'Mature Vineyard Results'!$K$24</c:f>
              <c:strCache>
                <c:ptCount val="1"/>
                <c:pt idx="0">
                  <c:v>Average Income</c:v>
                </c:pt>
              </c:strCache>
            </c:strRef>
          </c:tx>
          <c:spPr>
            <a:ln w="38100" cap="rnd">
              <a:solidFill>
                <a:schemeClr val="accent1"/>
              </a:solidFill>
              <a:round/>
            </a:ln>
            <a:effectLst/>
          </c:spPr>
          <c:marker>
            <c:symbol val="none"/>
          </c:marker>
          <c:dLbls>
            <c:delete val="1"/>
          </c:dLbls>
          <c:cat>
            <c:numRef>
              <c:f>'Mature Vineyard Results'!$L$15:$AK$15</c:f>
              <c:numCache>
                <c:formatCode>General</c:formatCode>
                <c:ptCount val="26"/>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numCache>
            </c:numRef>
          </c:cat>
          <c:val>
            <c:numRef>
              <c:f>'Mature Vineyard Results'!$L$24:$AK$24</c:f>
              <c:numCache>
                <c:formatCode>_("$"* #,##0_);_("$"* \(#,##0\);_("$"* "-"_);_(@_)</c:formatCode>
                <c:ptCount val="26"/>
                <c:pt idx="1">
                  <c:v>-14839.026846093906</c:v>
                </c:pt>
                <c:pt idx="2">
                  <c:v>-8995.0939124603137</c:v>
                </c:pt>
                <c:pt idx="3">
                  <c:v>-6291.0203027682173</c:v>
                </c:pt>
                <c:pt idx="4">
                  <c:v>-4514.8790320736161</c:v>
                </c:pt>
                <c:pt idx="5">
                  <c:v>-3449.1942696568558</c:v>
                </c:pt>
                <c:pt idx="6">
                  <c:v>-2738.7377613790154</c:v>
                </c:pt>
                <c:pt idx="7">
                  <c:v>-2231.2688268948436</c:v>
                </c:pt>
                <c:pt idx="8">
                  <c:v>-1850.6671260317148</c:v>
                </c:pt>
                <c:pt idx="9">
                  <c:v>-1554.643580915948</c:v>
                </c:pt>
                <c:pt idx="10">
                  <c:v>-1317.8247448233346</c:v>
                </c:pt>
                <c:pt idx="11">
                  <c:v>-1124.063878929378</c:v>
                </c:pt>
                <c:pt idx="12">
                  <c:v>-962.59649068441433</c:v>
                </c:pt>
                <c:pt idx="13">
                  <c:v>-825.97023909252198</c:v>
                </c:pt>
                <c:pt idx="14">
                  <c:v>-708.86202344232856</c:v>
                </c:pt>
                <c:pt idx="15">
                  <c:v>-607.36823654549414</c:v>
                </c:pt>
                <c:pt idx="16">
                  <c:v>-518.56117301076415</c:v>
                </c:pt>
                <c:pt idx="17">
                  <c:v>-440.20199930364942</c:v>
                </c:pt>
                <c:pt idx="18">
                  <c:v>-370.54940045288072</c:v>
                </c:pt>
                <c:pt idx="19">
                  <c:v>-308.22865411271931</c:v>
                </c:pt>
                <c:pt idx="20">
                  <c:v>-252.13998240657401</c:v>
                </c:pt>
                <c:pt idx="21">
                  <c:v>-201.39308895815685</c:v>
                </c:pt>
                <c:pt idx="22">
                  <c:v>-155.25954945959577</c:v>
                </c:pt>
                <c:pt idx="23">
                  <c:v>-113.13762209134438</c:v>
                </c:pt>
                <c:pt idx="24">
                  <c:v>-74.525855337113924</c:v>
                </c:pt>
                <c:pt idx="25">
                  <c:v>-39.003029923221909</c:v>
                </c:pt>
              </c:numCache>
            </c:numRef>
          </c:val>
          <c:smooth val="0"/>
          <c:extLst>
            <c:ext xmlns:c16="http://schemas.microsoft.com/office/drawing/2014/chart" uri="{C3380CC4-5D6E-409C-BE32-E72D297353CC}">
              <c16:uniqueId val="{00000000-CE4E-1044-A91F-5394E404F33B}"/>
            </c:ext>
          </c:extLst>
        </c:ser>
        <c:dLbls>
          <c:dLblPos val="ctr"/>
          <c:showLegendKey val="0"/>
          <c:showVal val="1"/>
          <c:showCatName val="0"/>
          <c:showSerName val="0"/>
          <c:showPercent val="0"/>
          <c:showBubbleSize val="0"/>
        </c:dLbls>
        <c:smooth val="0"/>
        <c:axId val="1705475375"/>
        <c:axId val="1699127567"/>
      </c:lineChart>
      <c:catAx>
        <c:axId val="1705475375"/>
        <c:scaling>
          <c:orientation val="minMax"/>
        </c:scaling>
        <c:delete val="0"/>
        <c:axPos val="b"/>
        <c:title>
          <c:tx>
            <c:rich>
              <a:bodyPr rot="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r>
                  <a:rPr lang="en-US"/>
                  <a:t>Year</a:t>
                </a:r>
              </a:p>
            </c:rich>
          </c:tx>
          <c:overlay val="0"/>
          <c:spPr>
            <a:noFill/>
            <a:ln>
              <a:noFill/>
            </a:ln>
            <a:effectLst/>
          </c:spPr>
          <c:txPr>
            <a:bodyPr rot="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mn-lt"/>
                <a:ea typeface="+mn-ea"/>
                <a:cs typeface="+mn-cs"/>
              </a:defRPr>
            </a:pPr>
            <a:endParaRPr lang="en-US"/>
          </a:p>
        </c:txPr>
        <c:crossAx val="1699127567"/>
        <c:crosses val="autoZero"/>
        <c:auto val="1"/>
        <c:lblAlgn val="ctr"/>
        <c:lblOffset val="100"/>
        <c:noMultiLvlLbl val="0"/>
      </c:catAx>
      <c:valAx>
        <c:axId val="1699127567"/>
        <c:scaling>
          <c:orientation val="minMax"/>
          <c:max val="5000"/>
          <c:min val="-22500"/>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title>
          <c:tx>
            <c:rich>
              <a:bodyPr rot="-540000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r>
                  <a:rPr lang="en-US"/>
                  <a:t>Average Yearly Income</a:t>
                </a:r>
              </a:p>
            </c:rich>
          </c:tx>
          <c:overlay val="0"/>
          <c:spPr>
            <a:noFill/>
            <a:ln>
              <a:noFill/>
            </a:ln>
            <a:effectLst/>
          </c:spPr>
          <c:txPr>
            <a:bodyPr rot="-540000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endParaRPr lang="en-US"/>
            </a:p>
          </c:txPr>
        </c:title>
        <c:numFmt formatCode="&quot;$&quot;#,##0_);[Red]\(&quot;$&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05475375"/>
        <c:crosses val="autoZero"/>
        <c:crossBetween val="between"/>
        <c:majorUnit val="2500"/>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9">
  <a:schemeClr val="accent6"/>
</cs:colorStyle>
</file>

<file path=xl/charts/colors2.xml><?xml version="1.0" encoding="utf-8"?>
<cs:colorStyle xmlns:cs="http://schemas.microsoft.com/office/drawing/2012/chartStyle" xmlns:a="http://schemas.openxmlformats.org/drawingml/2006/main" meth="withinLinear" id="14">
  <a:schemeClr val="accent1"/>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6">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2.xml><?xml version="1.0" encoding="utf-8"?>
<cs:chartStyle xmlns:cs="http://schemas.microsoft.com/office/drawing/2012/chartStyle" xmlns:a="http://schemas.openxmlformats.org/drawingml/2006/main" id="23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3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2</xdr:col>
      <xdr:colOff>3594100</xdr:colOff>
      <xdr:row>1</xdr:row>
      <xdr:rowOff>419100</xdr:rowOff>
    </xdr:from>
    <xdr:to>
      <xdr:col>2</xdr:col>
      <xdr:colOff>4902200</xdr:colOff>
      <xdr:row>7</xdr:row>
      <xdr:rowOff>128316</xdr:rowOff>
    </xdr:to>
    <xdr:pic>
      <xdr:nvPicPr>
        <xdr:cNvPr id="2" name="Picture 1" descr="Image result for cornell logo">
          <a:extLst>
            <a:ext uri="{FF2B5EF4-FFF2-40B4-BE49-F238E27FC236}">
              <a16:creationId xmlns:a16="http://schemas.microsoft.com/office/drawing/2014/main" id="{5DCEF2A0-1EB9-C445-B474-D188586DB7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45100" y="622300"/>
          <a:ext cx="1308100" cy="119511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1676400</xdr:colOff>
      <xdr:row>2</xdr:row>
      <xdr:rowOff>0</xdr:rowOff>
    </xdr:from>
    <xdr:to>
      <xdr:col>2</xdr:col>
      <xdr:colOff>3492500</xdr:colOff>
      <xdr:row>7</xdr:row>
      <xdr:rowOff>101600</xdr:rowOff>
    </xdr:to>
    <xdr:sp macro="" textlink="">
      <xdr:nvSpPr>
        <xdr:cNvPr id="3" name="TextBox 2">
          <a:extLst>
            <a:ext uri="{FF2B5EF4-FFF2-40B4-BE49-F238E27FC236}">
              <a16:creationId xmlns:a16="http://schemas.microsoft.com/office/drawing/2014/main" id="{CE92EB47-590E-F34C-BB5B-DA191D187F31}"/>
            </a:ext>
          </a:extLst>
        </xdr:cNvPr>
        <xdr:cNvSpPr txBox="1"/>
      </xdr:nvSpPr>
      <xdr:spPr>
        <a:xfrm>
          <a:off x="3327400" y="673100"/>
          <a:ext cx="1816100" cy="1117600"/>
        </a:xfrm>
        <a:prstGeom prst="rect">
          <a:avLst/>
        </a:prstGeom>
        <a:noFill/>
        <a:ln>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t>Cornell University</a:t>
          </a:r>
        </a:p>
        <a:p>
          <a:r>
            <a:rPr lang="en-US" sz="1200"/>
            <a:t>Cornell University</a:t>
          </a:r>
        </a:p>
        <a:p>
          <a:r>
            <a:rPr lang="en-US" sz="1200"/>
            <a:t>Cornell University</a:t>
          </a:r>
        </a:p>
        <a:p>
          <a:r>
            <a:rPr lang="en-US" sz="1200"/>
            <a:t>Virginia Tech University</a:t>
          </a:r>
        </a:p>
        <a:p>
          <a:r>
            <a:rPr lang="en-US" sz="1200"/>
            <a:t>Virginia</a:t>
          </a:r>
          <a:r>
            <a:rPr lang="en-US" sz="1200" baseline="0"/>
            <a:t> Tech University</a:t>
          </a:r>
          <a:endParaRPr lang="en-US" sz="1200"/>
        </a:p>
      </xdr:txBody>
    </xdr:sp>
    <xdr:clientData/>
  </xdr:twoCellAnchor>
  <xdr:twoCellAnchor editAs="oneCell">
    <xdr:from>
      <xdr:col>2</xdr:col>
      <xdr:colOff>4991100</xdr:colOff>
      <xdr:row>2</xdr:row>
      <xdr:rowOff>76200</xdr:rowOff>
    </xdr:from>
    <xdr:to>
      <xdr:col>2</xdr:col>
      <xdr:colOff>7277100</xdr:colOff>
      <xdr:row>7</xdr:row>
      <xdr:rowOff>0</xdr:rowOff>
    </xdr:to>
    <xdr:pic>
      <xdr:nvPicPr>
        <xdr:cNvPr id="5" name="Picture 4">
          <a:extLst>
            <a:ext uri="{FF2B5EF4-FFF2-40B4-BE49-F238E27FC236}">
              <a16:creationId xmlns:a16="http://schemas.microsoft.com/office/drawing/2014/main" id="{A17996BD-7C94-434F-9E75-2103128E65A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642100" y="749300"/>
          <a:ext cx="2286000" cy="9398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798285</xdr:colOff>
      <xdr:row>22</xdr:row>
      <xdr:rowOff>13854</xdr:rowOff>
    </xdr:from>
    <xdr:to>
      <xdr:col>13</xdr:col>
      <xdr:colOff>92797</xdr:colOff>
      <xdr:row>38</xdr:row>
      <xdr:rowOff>82466</xdr:rowOff>
    </xdr:to>
    <xdr:graphicFrame macro="">
      <xdr:nvGraphicFramePr>
        <xdr:cNvPr id="2" name="Chart 1">
          <a:extLst>
            <a:ext uri="{FF2B5EF4-FFF2-40B4-BE49-F238E27FC236}">
              <a16:creationId xmlns:a16="http://schemas.microsoft.com/office/drawing/2014/main" id="{AB8630DC-1918-0E4A-9139-545423797CE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423334</xdr:colOff>
      <xdr:row>28</xdr:row>
      <xdr:rowOff>204561</xdr:rowOff>
    </xdr:from>
    <xdr:to>
      <xdr:col>16</xdr:col>
      <xdr:colOff>517071</xdr:colOff>
      <xdr:row>49</xdr:row>
      <xdr:rowOff>124732</xdr:rowOff>
    </xdr:to>
    <xdr:graphicFrame macro="">
      <xdr:nvGraphicFramePr>
        <xdr:cNvPr id="2" name="Chart 1">
          <a:extLst>
            <a:ext uri="{FF2B5EF4-FFF2-40B4-BE49-F238E27FC236}">
              <a16:creationId xmlns:a16="http://schemas.microsoft.com/office/drawing/2014/main" id="{767B89BA-5F9D-1D4A-AFDC-03EB1780D56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833438</xdr:colOff>
      <xdr:row>28</xdr:row>
      <xdr:rowOff>192088</xdr:rowOff>
    </xdr:from>
    <xdr:to>
      <xdr:col>26</xdr:col>
      <xdr:colOff>566209</xdr:colOff>
      <xdr:row>49</xdr:row>
      <xdr:rowOff>63500</xdr:rowOff>
    </xdr:to>
    <xdr:graphicFrame macro="">
      <xdr:nvGraphicFramePr>
        <xdr:cNvPr id="3" name="Chart 2">
          <a:extLst>
            <a:ext uri="{FF2B5EF4-FFF2-40B4-BE49-F238E27FC236}">
              <a16:creationId xmlns:a16="http://schemas.microsoft.com/office/drawing/2014/main" id="{AFF8C095-4EBB-7A49-BD15-A0276B109D4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arec.vaes.vt.edu/arec/alson-h-smith/people/hatch-bio.html" TargetMode="External"/><Relationship Id="rId2" Type="http://schemas.openxmlformats.org/officeDocument/2006/relationships/hyperlink" Target="https://www.arec.vaes.vt.edu/arec/alson-h-smith/people/wolf-bio.html" TargetMode="External"/><Relationship Id="rId1" Type="http://schemas.openxmlformats.org/officeDocument/2006/relationships/hyperlink" Target="https://dyson.cornell.edu/faculty-research/faculty/mig7/" TargetMode="External"/><Relationship Id="rId6" Type="http://schemas.openxmlformats.org/officeDocument/2006/relationships/drawing" Target="../drawings/drawing1.xml"/><Relationship Id="rId5" Type="http://schemas.openxmlformats.org/officeDocument/2006/relationships/hyperlink" Target="https://www.linkedin.com/in/trentjdavis/" TargetMode="External"/><Relationship Id="rId4" Type="http://schemas.openxmlformats.org/officeDocument/2006/relationships/hyperlink" Target="https://grapesandwine.cals.cornell.edu/people/hans-walter-peterson/" TargetMode="External"/></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44E485-3B08-F642-B411-0A680D17C2EE}">
  <sheetPr>
    <tabColor rgb="FF00B0F0"/>
  </sheetPr>
  <dimension ref="B2:R63"/>
  <sheetViews>
    <sheetView tabSelected="1" zoomScale="80" zoomScaleNormal="80" workbookViewId="0">
      <selection activeCell="J2" sqref="J2"/>
    </sheetView>
  </sheetViews>
  <sheetFormatPr baseColWidth="10" defaultRowHeight="16" x14ac:dyDescent="0.2"/>
  <cols>
    <col min="1" max="2" width="10.83203125" style="2"/>
    <col min="3" max="3" width="119" style="2" customWidth="1"/>
    <col min="4" max="16384" width="10.83203125" style="2"/>
  </cols>
  <sheetData>
    <row r="2" spans="2:18" ht="37" customHeight="1" x14ac:dyDescent="0.2">
      <c r="B2" s="448" t="s">
        <v>433</v>
      </c>
    </row>
    <row r="3" spans="2:18" x14ac:dyDescent="0.2">
      <c r="B3" s="61" t="s">
        <v>434</v>
      </c>
      <c r="C3" s="449" t="s">
        <v>435</v>
      </c>
      <c r="D3" s="3"/>
      <c r="E3" s="3"/>
      <c r="F3" s="3"/>
      <c r="G3" s="3"/>
      <c r="H3" s="3"/>
      <c r="I3" s="3"/>
      <c r="J3" s="3"/>
      <c r="K3" s="3"/>
      <c r="L3" s="3"/>
      <c r="M3" s="3"/>
      <c r="N3" s="3"/>
      <c r="O3" s="3"/>
      <c r="P3" s="3"/>
      <c r="Q3" s="3"/>
      <c r="R3" s="3"/>
    </row>
    <row r="4" spans="2:18" x14ac:dyDescent="0.2">
      <c r="B4" s="3"/>
      <c r="C4" s="449" t="s">
        <v>436</v>
      </c>
      <c r="D4" s="3"/>
      <c r="E4" s="3"/>
      <c r="F4" s="3"/>
      <c r="G4" s="3"/>
      <c r="H4" s="3"/>
      <c r="I4" s="3"/>
      <c r="J4" s="3"/>
      <c r="K4" s="3"/>
      <c r="L4" s="3"/>
      <c r="M4" s="3"/>
      <c r="N4" s="3"/>
      <c r="O4" s="3"/>
      <c r="P4" s="3"/>
      <c r="Q4" s="3"/>
      <c r="R4" s="3"/>
    </row>
    <row r="5" spans="2:18" x14ac:dyDescent="0.2">
      <c r="B5" s="3"/>
      <c r="C5" s="449" t="s">
        <v>440</v>
      </c>
      <c r="D5" s="3"/>
      <c r="E5" s="3"/>
      <c r="F5" s="3"/>
      <c r="G5" s="3"/>
      <c r="H5" s="3"/>
      <c r="I5" s="3"/>
      <c r="J5" s="3"/>
      <c r="K5" s="3"/>
      <c r="L5" s="3"/>
      <c r="M5" s="3"/>
      <c r="N5" s="3"/>
      <c r="O5" s="3"/>
      <c r="P5" s="3"/>
      <c r="Q5" s="3"/>
      <c r="R5" s="3"/>
    </row>
    <row r="6" spans="2:18" x14ac:dyDescent="0.2">
      <c r="B6" s="3"/>
      <c r="C6" s="449" t="s">
        <v>437</v>
      </c>
      <c r="D6" s="3"/>
      <c r="E6" s="3"/>
      <c r="F6" s="3"/>
      <c r="G6" s="3"/>
      <c r="H6" s="3"/>
      <c r="I6" s="3"/>
      <c r="J6" s="3"/>
      <c r="K6" s="3"/>
      <c r="L6" s="3"/>
      <c r="M6" s="3"/>
      <c r="N6" s="3"/>
      <c r="O6" s="3"/>
      <c r="P6" s="3"/>
      <c r="Q6" s="3"/>
      <c r="R6" s="3"/>
    </row>
    <row r="7" spans="2:18" x14ac:dyDescent="0.2">
      <c r="B7" s="3"/>
      <c r="C7" s="449" t="s">
        <v>439</v>
      </c>
      <c r="D7" s="3"/>
      <c r="E7" s="3"/>
      <c r="F7" s="3"/>
      <c r="G7" s="3"/>
      <c r="H7" s="3"/>
      <c r="I7" s="3"/>
      <c r="J7" s="3"/>
      <c r="K7" s="3"/>
      <c r="L7" s="3"/>
      <c r="M7" s="3"/>
      <c r="N7" s="3"/>
      <c r="O7" s="3"/>
      <c r="P7" s="3"/>
      <c r="Q7" s="3"/>
      <c r="R7" s="3"/>
    </row>
    <row r="8" spans="2:18" x14ac:dyDescent="0.2">
      <c r="B8" s="3"/>
      <c r="C8" s="193"/>
      <c r="D8" s="3"/>
      <c r="E8" s="3"/>
      <c r="F8" s="3"/>
      <c r="G8" s="3"/>
      <c r="H8" s="3"/>
      <c r="I8" s="3"/>
      <c r="J8" s="3"/>
      <c r="K8" s="3"/>
      <c r="L8" s="3"/>
      <c r="M8" s="3"/>
      <c r="N8" s="3"/>
      <c r="O8" s="3"/>
      <c r="P8" s="3"/>
      <c r="Q8" s="3"/>
      <c r="R8" s="3"/>
    </row>
    <row r="9" spans="2:18" ht="55" customHeight="1" x14ac:dyDescent="0.2">
      <c r="B9" s="496" t="s">
        <v>545</v>
      </c>
      <c r="C9" s="496"/>
      <c r="D9" s="3"/>
      <c r="E9" s="3"/>
      <c r="F9" s="3"/>
      <c r="G9" s="3"/>
      <c r="H9" s="3"/>
      <c r="I9" s="3"/>
      <c r="J9" s="3"/>
      <c r="K9" s="3"/>
      <c r="L9" s="3"/>
      <c r="M9" s="3"/>
      <c r="N9" s="3"/>
      <c r="O9" s="3"/>
      <c r="P9" s="3"/>
      <c r="Q9" s="3"/>
      <c r="R9" s="3"/>
    </row>
    <row r="10" spans="2:18" x14ac:dyDescent="0.2">
      <c r="B10" s="3"/>
      <c r="C10" s="3"/>
      <c r="D10" s="3"/>
      <c r="E10" s="3"/>
      <c r="F10" s="3"/>
      <c r="G10" s="3"/>
      <c r="H10" s="3"/>
      <c r="I10" s="3"/>
      <c r="J10" s="3"/>
      <c r="K10" s="3"/>
      <c r="L10" s="3"/>
      <c r="M10" s="3"/>
      <c r="N10" s="3"/>
      <c r="O10" s="3"/>
      <c r="P10" s="3"/>
      <c r="Q10" s="3"/>
      <c r="R10" s="3"/>
    </row>
    <row r="11" spans="2:18" x14ac:dyDescent="0.2">
      <c r="B11" s="57" t="s">
        <v>438</v>
      </c>
      <c r="C11" s="3"/>
      <c r="D11" s="3"/>
      <c r="E11" s="3"/>
      <c r="F11" s="3"/>
      <c r="G11" s="3"/>
      <c r="H11" s="3"/>
      <c r="I11" s="3"/>
      <c r="J11" s="3"/>
      <c r="K11" s="3"/>
      <c r="L11" s="3"/>
      <c r="M11" s="3"/>
      <c r="N11" s="3"/>
      <c r="O11" s="3"/>
      <c r="P11" s="3"/>
      <c r="Q11" s="3"/>
      <c r="R11" s="3"/>
    </row>
    <row r="12" spans="2:18" ht="51" x14ac:dyDescent="0.2">
      <c r="B12" s="324">
        <v>1</v>
      </c>
      <c r="C12" s="323" t="s">
        <v>546</v>
      </c>
      <c r="D12" s="3"/>
      <c r="E12" s="3"/>
      <c r="F12" s="3"/>
      <c r="G12" s="3"/>
      <c r="H12" s="3"/>
      <c r="I12" s="3"/>
      <c r="J12" s="3"/>
      <c r="K12" s="3"/>
      <c r="L12" s="3"/>
      <c r="M12" s="3"/>
      <c r="N12" s="3"/>
      <c r="O12" s="3"/>
      <c r="P12" s="3"/>
      <c r="Q12" s="3"/>
      <c r="R12" s="3"/>
    </row>
    <row r="13" spans="2:18" ht="5" customHeight="1" x14ac:dyDescent="0.2">
      <c r="B13" s="57"/>
      <c r="C13" s="3"/>
      <c r="D13" s="3"/>
      <c r="E13" s="3"/>
      <c r="F13" s="3"/>
      <c r="G13" s="3"/>
      <c r="H13" s="3"/>
      <c r="I13" s="3"/>
      <c r="J13" s="3"/>
      <c r="K13" s="3"/>
      <c r="L13" s="3"/>
      <c r="M13" s="3"/>
      <c r="N13" s="3"/>
      <c r="O13" s="3"/>
      <c r="P13" s="3"/>
      <c r="Q13" s="3"/>
      <c r="R13" s="3"/>
    </row>
    <row r="14" spans="2:18" ht="34" x14ac:dyDescent="0.2">
      <c r="B14" s="324">
        <v>2</v>
      </c>
      <c r="C14" s="322" t="s">
        <v>547</v>
      </c>
      <c r="D14" s="3"/>
      <c r="E14" s="3"/>
      <c r="F14" s="3"/>
      <c r="G14" s="3"/>
      <c r="H14" s="3"/>
      <c r="I14" s="3"/>
      <c r="J14" s="3"/>
      <c r="K14" s="3"/>
      <c r="L14" s="3"/>
      <c r="M14" s="3"/>
      <c r="N14" s="3"/>
      <c r="O14" s="3"/>
      <c r="P14" s="3"/>
      <c r="Q14" s="3"/>
      <c r="R14" s="3"/>
    </row>
    <row r="15" spans="2:18" ht="5" customHeight="1" x14ac:dyDescent="0.2">
      <c r="B15" s="57"/>
      <c r="C15" s="3"/>
      <c r="D15" s="3"/>
      <c r="E15" s="3"/>
      <c r="F15" s="3"/>
      <c r="G15" s="3"/>
      <c r="H15" s="3"/>
      <c r="I15" s="3"/>
      <c r="J15" s="3"/>
      <c r="K15" s="3"/>
      <c r="L15" s="3"/>
      <c r="M15" s="3"/>
      <c r="N15" s="3"/>
      <c r="O15" s="3"/>
      <c r="P15" s="3"/>
      <c r="Q15" s="3"/>
      <c r="R15" s="3"/>
    </row>
    <row r="16" spans="2:18" ht="68" x14ac:dyDescent="0.2">
      <c r="B16" s="324">
        <v>3</v>
      </c>
      <c r="C16" s="326" t="s">
        <v>548</v>
      </c>
      <c r="D16" s="3"/>
      <c r="E16" s="3"/>
      <c r="F16" s="3"/>
      <c r="G16" s="3"/>
      <c r="H16" s="3"/>
      <c r="I16" s="3"/>
      <c r="J16" s="3"/>
      <c r="K16" s="3"/>
      <c r="L16" s="3"/>
      <c r="M16" s="3"/>
      <c r="N16" s="3"/>
      <c r="O16" s="3"/>
      <c r="P16" s="3"/>
      <c r="Q16" s="3"/>
      <c r="R16" s="3"/>
    </row>
    <row r="17" spans="2:18" x14ac:dyDescent="0.2">
      <c r="B17" s="57" t="s">
        <v>453</v>
      </c>
      <c r="C17" s="3"/>
      <c r="D17" s="3"/>
      <c r="E17" s="3"/>
      <c r="F17" s="3"/>
      <c r="G17" s="3"/>
      <c r="H17" s="3"/>
      <c r="I17" s="3"/>
      <c r="J17" s="3"/>
      <c r="K17" s="3"/>
      <c r="L17" s="3"/>
      <c r="M17" s="3"/>
      <c r="N17" s="3"/>
      <c r="O17" s="3"/>
      <c r="P17" s="3"/>
      <c r="Q17" s="3"/>
      <c r="R17" s="3"/>
    </row>
    <row r="18" spans="2:18" x14ac:dyDescent="0.2">
      <c r="B18" s="194" t="s">
        <v>455</v>
      </c>
      <c r="C18" s="3"/>
      <c r="D18" s="3"/>
      <c r="E18" s="3"/>
      <c r="F18" s="3"/>
      <c r="G18" s="3"/>
      <c r="H18" s="3"/>
      <c r="I18" s="3"/>
      <c r="J18" s="3"/>
      <c r="K18" s="3"/>
      <c r="L18" s="3"/>
      <c r="M18" s="3"/>
      <c r="N18" s="3"/>
      <c r="O18" s="3"/>
      <c r="P18" s="3"/>
      <c r="Q18" s="3"/>
      <c r="R18" s="3"/>
    </row>
    <row r="19" spans="2:18" x14ac:dyDescent="0.2">
      <c r="B19" s="59">
        <v>1</v>
      </c>
      <c r="C19" s="3" t="s">
        <v>454</v>
      </c>
      <c r="D19" s="3"/>
      <c r="E19" s="3"/>
      <c r="F19" s="3"/>
      <c r="G19" s="3"/>
      <c r="H19" s="3"/>
      <c r="I19" s="3"/>
      <c r="J19" s="3"/>
      <c r="K19" s="3"/>
      <c r="L19" s="3"/>
      <c r="M19" s="3"/>
      <c r="N19" s="3"/>
      <c r="O19" s="3"/>
      <c r="P19" s="3"/>
      <c r="Q19" s="3"/>
      <c r="R19" s="3"/>
    </row>
    <row r="20" spans="2:18" ht="6" customHeight="1" x14ac:dyDescent="0.2">
      <c r="B20" s="3"/>
      <c r="C20" s="3"/>
      <c r="D20" s="3"/>
      <c r="E20" s="3"/>
      <c r="F20" s="3"/>
      <c r="G20" s="3"/>
      <c r="H20" s="3"/>
      <c r="I20" s="3"/>
      <c r="J20" s="3"/>
      <c r="K20" s="3"/>
      <c r="L20" s="3"/>
      <c r="M20" s="3"/>
      <c r="N20" s="3"/>
      <c r="O20" s="3"/>
      <c r="P20" s="3"/>
      <c r="Q20" s="3"/>
      <c r="R20" s="3"/>
    </row>
    <row r="21" spans="2:18" x14ac:dyDescent="0.2">
      <c r="B21" s="57">
        <v>2</v>
      </c>
      <c r="C21" s="3" t="s">
        <v>550</v>
      </c>
      <c r="D21" s="3"/>
      <c r="E21" s="3"/>
      <c r="F21" s="3"/>
      <c r="G21" s="3"/>
      <c r="H21" s="3"/>
      <c r="I21" s="3"/>
      <c r="J21" s="3"/>
      <c r="K21" s="3"/>
      <c r="L21" s="3"/>
      <c r="M21" s="3"/>
      <c r="N21" s="3"/>
      <c r="O21" s="3"/>
      <c r="P21" s="3"/>
      <c r="Q21" s="3"/>
      <c r="R21" s="3"/>
    </row>
    <row r="22" spans="2:18" ht="5" customHeight="1" x14ac:dyDescent="0.2">
      <c r="B22" s="57"/>
      <c r="C22" s="3"/>
      <c r="D22" s="3"/>
      <c r="E22" s="3"/>
      <c r="F22" s="3"/>
      <c r="G22" s="3"/>
      <c r="H22" s="3"/>
      <c r="I22" s="3"/>
      <c r="J22" s="3"/>
      <c r="K22" s="3"/>
      <c r="L22" s="3"/>
      <c r="M22" s="3"/>
      <c r="N22" s="3"/>
      <c r="O22" s="3"/>
      <c r="P22" s="3"/>
      <c r="Q22" s="3"/>
      <c r="R22" s="3"/>
    </row>
    <row r="23" spans="2:18" x14ac:dyDescent="0.2">
      <c r="B23" s="57">
        <v>3</v>
      </c>
      <c r="C23" s="3" t="s">
        <v>537</v>
      </c>
      <c r="D23" s="3"/>
      <c r="E23" s="3"/>
      <c r="F23" s="3"/>
      <c r="G23" s="3"/>
      <c r="H23" s="3"/>
      <c r="I23" s="3"/>
      <c r="J23" s="3"/>
      <c r="K23" s="3"/>
      <c r="L23" s="3"/>
      <c r="M23" s="3"/>
      <c r="N23" s="3"/>
      <c r="O23" s="3"/>
      <c r="P23" s="3"/>
      <c r="Q23" s="3"/>
      <c r="R23" s="3"/>
    </row>
    <row r="24" spans="2:18" ht="5" customHeight="1" x14ac:dyDescent="0.2">
      <c r="B24" s="57"/>
      <c r="C24" s="3"/>
      <c r="D24" s="3"/>
      <c r="E24" s="3"/>
      <c r="F24" s="3"/>
      <c r="G24" s="3"/>
      <c r="H24" s="3"/>
      <c r="I24" s="3"/>
      <c r="J24" s="3"/>
      <c r="K24" s="3"/>
      <c r="L24" s="3"/>
      <c r="M24" s="3"/>
      <c r="N24" s="3"/>
      <c r="O24" s="3"/>
      <c r="P24" s="3"/>
      <c r="Q24" s="3"/>
      <c r="R24" s="3"/>
    </row>
    <row r="25" spans="2:18" x14ac:dyDescent="0.2">
      <c r="B25" s="57">
        <v>4</v>
      </c>
      <c r="C25" s="3" t="s">
        <v>549</v>
      </c>
      <c r="D25" s="3"/>
      <c r="E25" s="3"/>
      <c r="F25" s="3"/>
      <c r="G25" s="3"/>
      <c r="H25" s="3"/>
      <c r="I25" s="3"/>
      <c r="J25" s="3"/>
      <c r="K25" s="3"/>
      <c r="L25" s="3"/>
      <c r="M25" s="3"/>
      <c r="N25" s="3"/>
      <c r="O25" s="3"/>
      <c r="P25" s="3"/>
      <c r="Q25" s="3"/>
      <c r="R25" s="3"/>
    </row>
    <row r="26" spans="2:18" ht="5" customHeight="1" x14ac:dyDescent="0.2">
      <c r="B26" s="57"/>
      <c r="C26" s="3"/>
      <c r="D26" s="3"/>
      <c r="E26" s="3"/>
      <c r="F26" s="3"/>
      <c r="G26" s="3"/>
      <c r="H26" s="3"/>
      <c r="I26" s="3"/>
      <c r="J26" s="3"/>
      <c r="K26" s="3"/>
      <c r="L26" s="3"/>
      <c r="M26" s="3"/>
      <c r="N26" s="3"/>
      <c r="O26" s="3"/>
      <c r="P26" s="3"/>
      <c r="Q26" s="3"/>
      <c r="R26" s="3"/>
    </row>
    <row r="27" spans="2:18" x14ac:dyDescent="0.2">
      <c r="B27" s="57">
        <v>5</v>
      </c>
      <c r="C27" s="3" t="s">
        <v>456</v>
      </c>
      <c r="D27" s="3"/>
      <c r="E27" s="3"/>
      <c r="F27" s="3"/>
      <c r="G27" s="3"/>
      <c r="H27" s="3"/>
      <c r="I27" s="3"/>
      <c r="J27" s="3"/>
      <c r="K27" s="3"/>
      <c r="L27" s="3"/>
      <c r="M27" s="3"/>
      <c r="N27" s="3"/>
      <c r="O27" s="3"/>
      <c r="P27" s="3"/>
      <c r="Q27" s="3"/>
      <c r="R27" s="3"/>
    </row>
    <row r="28" spans="2:18" ht="5" customHeight="1" x14ac:dyDescent="0.2">
      <c r="B28" s="57"/>
      <c r="C28" s="3"/>
      <c r="D28" s="3"/>
      <c r="E28" s="3"/>
      <c r="F28" s="3"/>
      <c r="G28" s="3"/>
      <c r="H28" s="3"/>
      <c r="I28" s="3"/>
      <c r="J28" s="3"/>
      <c r="K28" s="3"/>
      <c r="L28" s="3"/>
      <c r="M28" s="3"/>
      <c r="N28" s="3"/>
      <c r="O28" s="3"/>
      <c r="P28" s="3"/>
      <c r="Q28" s="3"/>
      <c r="R28" s="3"/>
    </row>
    <row r="29" spans="2:18" x14ac:dyDescent="0.2">
      <c r="B29" s="57">
        <v>6</v>
      </c>
      <c r="C29" s="3" t="s">
        <v>551</v>
      </c>
      <c r="D29" s="3"/>
      <c r="E29" s="3"/>
      <c r="F29" s="3"/>
      <c r="G29" s="3"/>
      <c r="H29" s="3"/>
      <c r="I29" s="3"/>
      <c r="J29" s="3"/>
      <c r="K29" s="3"/>
      <c r="L29" s="3"/>
      <c r="M29" s="3"/>
      <c r="N29" s="3"/>
      <c r="O29" s="3"/>
      <c r="P29" s="3"/>
      <c r="Q29" s="3"/>
      <c r="R29" s="3"/>
    </row>
    <row r="30" spans="2:18" ht="5" customHeight="1" x14ac:dyDescent="0.2">
      <c r="B30" s="57"/>
      <c r="C30" s="3"/>
      <c r="D30" s="3"/>
      <c r="E30" s="3"/>
      <c r="F30" s="3"/>
      <c r="G30" s="3"/>
      <c r="H30" s="3"/>
      <c r="I30" s="3"/>
      <c r="J30" s="3"/>
      <c r="K30" s="3"/>
      <c r="L30" s="3"/>
      <c r="M30" s="3"/>
      <c r="N30" s="3"/>
      <c r="O30" s="3"/>
      <c r="P30" s="3"/>
      <c r="Q30" s="3"/>
      <c r="R30" s="3"/>
    </row>
    <row r="31" spans="2:18" ht="34" x14ac:dyDescent="0.2">
      <c r="B31" s="324">
        <v>7</v>
      </c>
      <c r="C31" s="322" t="s">
        <v>552</v>
      </c>
      <c r="D31" s="3"/>
      <c r="E31" s="3"/>
      <c r="F31" s="3"/>
      <c r="G31" s="3"/>
      <c r="H31" s="3"/>
      <c r="I31" s="3"/>
      <c r="J31" s="3"/>
      <c r="K31" s="3"/>
      <c r="L31" s="3"/>
      <c r="M31" s="3"/>
      <c r="N31" s="3"/>
      <c r="O31" s="3"/>
      <c r="P31" s="3"/>
      <c r="Q31" s="3"/>
      <c r="R31" s="3"/>
    </row>
    <row r="32" spans="2:18" ht="5" customHeight="1" x14ac:dyDescent="0.2">
      <c r="B32" s="57"/>
      <c r="C32" s="3"/>
      <c r="D32" s="3"/>
      <c r="E32" s="3"/>
      <c r="F32" s="3"/>
      <c r="G32" s="3"/>
      <c r="H32" s="3"/>
      <c r="I32" s="3"/>
      <c r="J32" s="3"/>
      <c r="K32" s="3"/>
      <c r="L32" s="3"/>
      <c r="M32" s="3"/>
      <c r="N32" s="3"/>
      <c r="O32" s="3"/>
      <c r="P32" s="3"/>
      <c r="Q32" s="3"/>
      <c r="R32" s="3"/>
    </row>
    <row r="33" spans="2:18" ht="51" x14ac:dyDescent="0.2">
      <c r="B33" s="325">
        <v>8</v>
      </c>
      <c r="C33" s="322" t="s">
        <v>553</v>
      </c>
      <c r="D33" s="3"/>
      <c r="E33" s="3"/>
      <c r="F33" s="3"/>
      <c r="G33" s="3"/>
      <c r="H33" s="3"/>
      <c r="I33" s="3"/>
      <c r="J33" s="3"/>
      <c r="K33" s="3"/>
      <c r="L33" s="3"/>
      <c r="M33" s="3"/>
      <c r="N33" s="3"/>
      <c r="O33" s="3"/>
      <c r="P33" s="3"/>
      <c r="Q33" s="3"/>
      <c r="R33" s="3"/>
    </row>
    <row r="34" spans="2:18" ht="5" customHeight="1" x14ac:dyDescent="0.2">
      <c r="B34" s="57"/>
      <c r="C34" s="3"/>
      <c r="D34" s="3"/>
      <c r="E34" s="3"/>
      <c r="F34" s="3"/>
      <c r="G34" s="3"/>
      <c r="H34" s="3"/>
      <c r="I34" s="3"/>
      <c r="J34" s="3"/>
      <c r="K34" s="3"/>
      <c r="L34" s="3"/>
      <c r="M34" s="3"/>
      <c r="N34" s="3"/>
      <c r="O34" s="3"/>
      <c r="P34" s="3"/>
      <c r="Q34" s="3"/>
      <c r="R34" s="3"/>
    </row>
    <row r="35" spans="2:18" x14ac:dyDescent="0.2">
      <c r="B35" s="57">
        <v>9</v>
      </c>
      <c r="C35" s="3" t="s">
        <v>457</v>
      </c>
      <c r="D35" s="3"/>
      <c r="E35" s="3"/>
      <c r="F35" s="3"/>
      <c r="G35" s="3"/>
      <c r="H35" s="3"/>
      <c r="I35" s="3"/>
      <c r="J35" s="3"/>
      <c r="K35" s="3"/>
      <c r="L35" s="3"/>
      <c r="M35" s="3"/>
      <c r="N35" s="3"/>
      <c r="O35" s="3"/>
      <c r="P35" s="3"/>
      <c r="Q35" s="3"/>
      <c r="R35" s="3"/>
    </row>
    <row r="36" spans="2:18" x14ac:dyDescent="0.2">
      <c r="B36" s="57"/>
      <c r="C36" s="3"/>
      <c r="D36" s="3"/>
      <c r="E36" s="3"/>
      <c r="F36" s="3"/>
      <c r="G36" s="3"/>
      <c r="H36" s="3"/>
      <c r="I36" s="3"/>
      <c r="J36" s="3"/>
      <c r="K36" s="3"/>
      <c r="L36" s="3"/>
      <c r="M36" s="3"/>
      <c r="N36" s="3"/>
      <c r="O36" s="3"/>
      <c r="P36" s="3"/>
      <c r="Q36" s="3"/>
      <c r="R36" s="3"/>
    </row>
    <row r="37" spans="2:18" x14ac:dyDescent="0.2">
      <c r="B37" s="57"/>
      <c r="C37" s="3"/>
      <c r="D37" s="3"/>
      <c r="E37" s="3"/>
      <c r="F37" s="3"/>
      <c r="G37" s="3"/>
      <c r="H37" s="3"/>
      <c r="I37" s="3"/>
      <c r="J37" s="3"/>
      <c r="K37" s="3"/>
      <c r="L37" s="3"/>
      <c r="M37" s="3"/>
      <c r="N37" s="3"/>
      <c r="O37" s="3"/>
      <c r="P37" s="3"/>
      <c r="Q37" s="3"/>
      <c r="R37" s="3"/>
    </row>
    <row r="38" spans="2:18" x14ac:dyDescent="0.2">
      <c r="B38" s="57"/>
      <c r="C38" s="3"/>
      <c r="D38" s="3"/>
      <c r="E38" s="3"/>
      <c r="F38" s="3"/>
      <c r="G38" s="3"/>
      <c r="H38" s="3"/>
      <c r="I38" s="3"/>
      <c r="J38" s="3"/>
      <c r="K38" s="3"/>
      <c r="L38" s="3"/>
      <c r="M38" s="3"/>
      <c r="N38" s="3"/>
      <c r="O38" s="3"/>
      <c r="P38" s="3"/>
      <c r="Q38" s="3"/>
      <c r="R38" s="3"/>
    </row>
    <row r="39" spans="2:18" x14ac:dyDescent="0.2">
      <c r="B39" s="57"/>
      <c r="C39" s="3"/>
      <c r="D39" s="3"/>
      <c r="E39" s="3"/>
      <c r="F39" s="3"/>
      <c r="G39" s="3"/>
      <c r="H39" s="3"/>
      <c r="I39" s="3"/>
      <c r="J39" s="3"/>
      <c r="K39" s="3"/>
      <c r="L39" s="3"/>
      <c r="M39" s="3"/>
      <c r="N39" s="3"/>
      <c r="O39" s="3"/>
      <c r="P39" s="3"/>
      <c r="Q39" s="3"/>
      <c r="R39" s="3"/>
    </row>
    <row r="40" spans="2:18" x14ac:dyDescent="0.2">
      <c r="B40" s="57"/>
      <c r="C40" s="3"/>
      <c r="D40" s="3"/>
      <c r="E40" s="3"/>
      <c r="F40" s="3"/>
      <c r="G40" s="3"/>
      <c r="H40" s="3"/>
      <c r="I40" s="3"/>
      <c r="J40" s="3"/>
      <c r="K40" s="3"/>
      <c r="L40" s="3"/>
      <c r="M40" s="3"/>
      <c r="N40" s="3"/>
      <c r="O40" s="3"/>
      <c r="P40" s="3"/>
      <c r="Q40" s="3"/>
      <c r="R40" s="3"/>
    </row>
    <row r="41" spans="2:18" x14ac:dyDescent="0.2">
      <c r="B41" s="57"/>
      <c r="C41" s="3"/>
      <c r="D41" s="3"/>
      <c r="E41" s="3"/>
      <c r="F41" s="3"/>
      <c r="G41" s="3"/>
      <c r="H41" s="3"/>
      <c r="I41" s="3"/>
      <c r="J41" s="3"/>
      <c r="K41" s="3"/>
      <c r="L41" s="3"/>
      <c r="M41" s="3"/>
      <c r="N41" s="3"/>
      <c r="O41" s="3"/>
      <c r="P41" s="3"/>
      <c r="Q41" s="3"/>
      <c r="R41" s="3"/>
    </row>
    <row r="42" spans="2:18" x14ac:dyDescent="0.2">
      <c r="B42" s="57"/>
      <c r="C42" s="3"/>
      <c r="D42" s="3"/>
      <c r="E42" s="3"/>
      <c r="F42" s="3"/>
      <c r="G42" s="3"/>
      <c r="H42" s="3"/>
      <c r="I42" s="3"/>
      <c r="J42" s="3"/>
      <c r="K42" s="3"/>
      <c r="L42" s="3"/>
      <c r="M42" s="3"/>
      <c r="N42" s="3"/>
      <c r="O42" s="3"/>
      <c r="P42" s="3"/>
      <c r="Q42" s="3"/>
      <c r="R42" s="3"/>
    </row>
    <row r="43" spans="2:18" x14ac:dyDescent="0.2">
      <c r="B43" s="57"/>
      <c r="C43" s="3"/>
      <c r="D43" s="3"/>
      <c r="E43" s="3"/>
      <c r="F43" s="3"/>
      <c r="G43" s="3"/>
      <c r="H43" s="3"/>
      <c r="I43" s="3"/>
      <c r="J43" s="3"/>
      <c r="K43" s="3"/>
      <c r="L43" s="3"/>
      <c r="M43" s="3"/>
      <c r="N43" s="3"/>
      <c r="O43" s="3"/>
      <c r="P43" s="3"/>
      <c r="Q43" s="3"/>
      <c r="R43" s="3"/>
    </row>
    <row r="44" spans="2:18" x14ac:dyDescent="0.2">
      <c r="B44" s="57"/>
      <c r="C44" s="3"/>
      <c r="D44" s="3"/>
      <c r="E44" s="3"/>
      <c r="F44" s="3"/>
      <c r="G44" s="3"/>
      <c r="H44" s="3"/>
      <c r="I44" s="3"/>
      <c r="J44" s="3"/>
      <c r="K44" s="3"/>
      <c r="L44" s="3"/>
      <c r="M44" s="3"/>
      <c r="N44" s="3"/>
      <c r="O44" s="3"/>
      <c r="P44" s="3"/>
      <c r="Q44" s="3"/>
      <c r="R44" s="3"/>
    </row>
    <row r="45" spans="2:18" x14ac:dyDescent="0.2">
      <c r="B45" s="57"/>
      <c r="C45" s="3"/>
      <c r="D45" s="3"/>
      <c r="E45" s="3"/>
      <c r="F45" s="3"/>
      <c r="G45" s="3"/>
      <c r="H45" s="3"/>
      <c r="I45" s="3"/>
      <c r="J45" s="3"/>
      <c r="K45" s="3"/>
      <c r="L45" s="3"/>
      <c r="M45" s="3"/>
      <c r="N45" s="3"/>
      <c r="O45" s="3"/>
      <c r="P45" s="3"/>
      <c r="Q45" s="3"/>
      <c r="R45" s="3"/>
    </row>
    <row r="46" spans="2:18" x14ac:dyDescent="0.2">
      <c r="B46" s="57"/>
      <c r="C46" s="3"/>
      <c r="D46" s="3"/>
      <c r="E46" s="3"/>
      <c r="F46" s="3"/>
      <c r="G46" s="3"/>
      <c r="H46" s="3"/>
      <c r="I46" s="3"/>
      <c r="J46" s="3"/>
      <c r="K46" s="3"/>
      <c r="L46" s="3"/>
      <c r="M46" s="3"/>
      <c r="N46" s="3"/>
      <c r="O46" s="3"/>
      <c r="P46" s="3"/>
      <c r="Q46" s="3"/>
      <c r="R46" s="3"/>
    </row>
    <row r="47" spans="2:18" x14ac:dyDescent="0.2">
      <c r="B47" s="57"/>
      <c r="C47" s="3"/>
      <c r="D47" s="3"/>
      <c r="E47" s="3"/>
      <c r="F47" s="3"/>
      <c r="G47" s="3"/>
      <c r="H47" s="3"/>
      <c r="I47" s="3"/>
      <c r="J47" s="3"/>
      <c r="K47" s="3"/>
      <c r="L47" s="3"/>
      <c r="M47" s="3"/>
      <c r="N47" s="3"/>
      <c r="O47" s="3"/>
      <c r="P47" s="3"/>
      <c r="Q47" s="3"/>
      <c r="R47" s="3"/>
    </row>
    <row r="48" spans="2:18" x14ac:dyDescent="0.2">
      <c r="B48" s="57"/>
    </row>
    <row r="49" spans="2:2" x14ac:dyDescent="0.2">
      <c r="B49" s="57"/>
    </row>
    <row r="50" spans="2:2" x14ac:dyDescent="0.2">
      <c r="B50" s="57"/>
    </row>
    <row r="51" spans="2:2" x14ac:dyDescent="0.2">
      <c r="B51" s="57"/>
    </row>
    <row r="52" spans="2:2" x14ac:dyDescent="0.2">
      <c r="B52" s="57"/>
    </row>
    <row r="53" spans="2:2" x14ac:dyDescent="0.2">
      <c r="B53" s="57"/>
    </row>
    <row r="54" spans="2:2" x14ac:dyDescent="0.2">
      <c r="B54" s="57"/>
    </row>
    <row r="55" spans="2:2" x14ac:dyDescent="0.2">
      <c r="B55" s="57"/>
    </row>
    <row r="56" spans="2:2" x14ac:dyDescent="0.2">
      <c r="B56" s="57"/>
    </row>
    <row r="57" spans="2:2" x14ac:dyDescent="0.2">
      <c r="B57" s="57"/>
    </row>
    <row r="58" spans="2:2" x14ac:dyDescent="0.2">
      <c r="B58" s="57"/>
    </row>
    <row r="59" spans="2:2" x14ac:dyDescent="0.2">
      <c r="B59" s="57"/>
    </row>
    <row r="60" spans="2:2" x14ac:dyDescent="0.2">
      <c r="B60" s="57"/>
    </row>
    <row r="61" spans="2:2" x14ac:dyDescent="0.2">
      <c r="B61" s="57"/>
    </row>
    <row r="62" spans="2:2" x14ac:dyDescent="0.2">
      <c r="B62" s="57"/>
    </row>
    <row r="63" spans="2:2" x14ac:dyDescent="0.2">
      <c r="B63" s="57"/>
    </row>
  </sheetData>
  <sheetProtection algorithmName="SHA-512" hashValue="XxsE2OLyAXHN/lP4HPId3vNQhJMmsYB7rE/vg6CDoU/AVMAM4K8r4xyG3FB49kclk1x3BaP5WZtIBgT4MbVEQQ==" saltValue="13JfI/gkSadgX8WzgpRzJw==" spinCount="100000" sheet="1" objects="1" scenarios="1"/>
  <mergeCells count="1">
    <mergeCell ref="B9:C9"/>
  </mergeCells>
  <hyperlinks>
    <hyperlink ref="C4" r:id="rId1" xr:uid="{41A6E657-B48B-174E-BEAE-9A476F63688B}"/>
    <hyperlink ref="C6" r:id="rId2" xr:uid="{BA170762-76DE-4D48-97B0-04164520519F}"/>
    <hyperlink ref="C7" r:id="rId3" xr:uid="{B9286FD7-1ADC-7C46-ADCB-2B8DD84A9506}"/>
    <hyperlink ref="C5" r:id="rId4" xr:uid="{0D2E64E7-574D-2249-8AF6-EB222D92981C}"/>
    <hyperlink ref="C3" r:id="rId5" xr:uid="{3A2383FD-2536-F343-8BFD-B944693C1E6D}"/>
  </hyperlinks>
  <pageMargins left="0.7" right="0.7" top="0.75" bottom="0.75" header="0.3" footer="0.3"/>
  <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8A4BFE-F0D8-D547-A845-A34422DC19AB}">
  <sheetPr>
    <tabColor theme="1"/>
  </sheetPr>
  <dimension ref="C2:V53"/>
  <sheetViews>
    <sheetView zoomScale="80" zoomScaleNormal="80" workbookViewId="0">
      <selection activeCell="S3" sqref="S3"/>
    </sheetView>
  </sheetViews>
  <sheetFormatPr baseColWidth="10" defaultRowHeight="16" x14ac:dyDescent="0.2"/>
  <cols>
    <col min="1" max="1" width="10.83203125" style="3"/>
    <col min="2" max="2" width="1" style="3" customWidth="1"/>
    <col min="3" max="3" width="42.5" style="3" bestFit="1" customWidth="1"/>
    <col min="4" max="6" width="10.83203125" style="3"/>
    <col min="7" max="7" width="12" style="3" bestFit="1" customWidth="1"/>
    <col min="8" max="8" width="11" style="3" bestFit="1" customWidth="1"/>
    <col min="9" max="9" width="11" style="3" customWidth="1"/>
    <col min="10" max="10" width="11" style="3" bestFit="1" customWidth="1"/>
    <col min="11" max="11" width="12" style="3" bestFit="1" customWidth="1"/>
    <col min="12" max="16" width="10.83203125" style="3"/>
    <col min="17" max="17" width="27.33203125" style="3" bestFit="1" customWidth="1"/>
    <col min="18" max="16384" width="10.83203125" style="3"/>
  </cols>
  <sheetData>
    <row r="2" spans="3:22" ht="17" thickBot="1" x14ac:dyDescent="0.25"/>
    <row r="3" spans="3:22" ht="22" thickBot="1" x14ac:dyDescent="0.3">
      <c r="C3" s="540" t="s">
        <v>378</v>
      </c>
      <c r="D3" s="541"/>
      <c r="E3" s="541"/>
      <c r="F3" s="541"/>
      <c r="G3" s="541"/>
      <c r="H3" s="541"/>
      <c r="I3" s="541"/>
      <c r="J3" s="541"/>
      <c r="K3" s="542"/>
      <c r="L3" s="26"/>
      <c r="M3" s="26"/>
      <c r="N3" s="26"/>
      <c r="O3" s="26"/>
      <c r="P3" s="25"/>
      <c r="Q3" s="25"/>
      <c r="R3" s="25"/>
      <c r="S3" s="25"/>
      <c r="T3" s="26"/>
      <c r="U3" s="26"/>
      <c r="V3" s="26"/>
    </row>
    <row r="4" spans="3:22" ht="52" thickBot="1" x14ac:dyDescent="0.25">
      <c r="C4" s="262" t="s">
        <v>169</v>
      </c>
      <c r="D4" s="263" t="s">
        <v>170</v>
      </c>
      <c r="E4" s="263" t="s">
        <v>171</v>
      </c>
      <c r="F4" s="263" t="s">
        <v>172</v>
      </c>
      <c r="G4" s="263" t="s">
        <v>173</v>
      </c>
      <c r="H4" s="263" t="s">
        <v>174</v>
      </c>
      <c r="I4" s="263" t="s">
        <v>530</v>
      </c>
      <c r="J4" s="263" t="s">
        <v>175</v>
      </c>
      <c r="K4" s="264" t="s">
        <v>226</v>
      </c>
      <c r="L4" s="26"/>
      <c r="M4" s="26"/>
      <c r="N4" s="26"/>
      <c r="O4" s="26"/>
      <c r="P4" s="25"/>
      <c r="Q4" s="41" t="s">
        <v>72</v>
      </c>
      <c r="R4" s="41" t="s">
        <v>45</v>
      </c>
      <c r="S4" s="25"/>
      <c r="T4" s="26"/>
      <c r="U4" s="26"/>
      <c r="V4" s="26"/>
    </row>
    <row r="5" spans="3:22" x14ac:dyDescent="0.2">
      <c r="C5" s="60" t="s">
        <v>352</v>
      </c>
      <c r="D5" s="208"/>
      <c r="E5" s="208"/>
      <c r="F5" s="208"/>
      <c r="G5" s="317"/>
      <c r="H5" s="317"/>
      <c r="I5" s="317"/>
      <c r="J5" s="317"/>
      <c r="K5" s="318"/>
      <c r="L5" s="26"/>
      <c r="M5" s="26"/>
      <c r="N5" s="26"/>
      <c r="O5" s="26"/>
      <c r="P5" s="25"/>
      <c r="Q5" s="25" t="s">
        <v>181</v>
      </c>
      <c r="R5" s="25"/>
      <c r="S5" s="25"/>
      <c r="T5" s="26"/>
      <c r="U5" s="26"/>
      <c r="V5" s="26"/>
    </row>
    <row r="6" spans="3:22" x14ac:dyDescent="0.2">
      <c r="C6" s="10" t="s">
        <v>353</v>
      </c>
      <c r="D6" s="208" t="s">
        <v>191</v>
      </c>
      <c r="E6" s="208">
        <v>20</v>
      </c>
      <c r="F6" s="208"/>
      <c r="G6" s="317">
        <f>E6*IF(ISBLANK('General Assumptions'!$G$19),'General Assumptions'!$E$19,'General Assumptions'!$G$19)</f>
        <v>460</v>
      </c>
      <c r="H6" s="317"/>
      <c r="I6" s="317">
        <f t="shared" ref="I6:I37" si="0">G6+H6</f>
        <v>460</v>
      </c>
      <c r="J6" s="317"/>
      <c r="K6" s="318">
        <f>SUM(I6:J6)</f>
        <v>460</v>
      </c>
      <c r="L6" s="26" t="s">
        <v>354</v>
      </c>
      <c r="M6" s="26"/>
      <c r="N6" s="26"/>
      <c r="O6" s="26"/>
      <c r="P6" s="25"/>
      <c r="Q6" s="25" t="s">
        <v>184</v>
      </c>
      <c r="R6" s="25"/>
      <c r="S6" s="25"/>
      <c r="T6" s="26"/>
      <c r="U6" s="26"/>
      <c r="V6" s="26"/>
    </row>
    <row r="7" spans="3:22" x14ac:dyDescent="0.2">
      <c r="C7" s="10" t="s">
        <v>355</v>
      </c>
      <c r="D7" s="208" t="s">
        <v>191</v>
      </c>
      <c r="E7" s="208">
        <v>4</v>
      </c>
      <c r="F7" s="208">
        <v>1</v>
      </c>
      <c r="G7" s="317">
        <f>E7*IF(ISBLANK('General Assumptions'!$G$19),'General Assumptions'!$E$19,'General Assumptions'!$G$19)</f>
        <v>92</v>
      </c>
      <c r="H7" s="317">
        <f>F7*('Machinery &amp; Equipment'!S7+'Machinery &amp; Equipment'!S15)</f>
        <v>21.568819999999999</v>
      </c>
      <c r="I7" s="317">
        <f t="shared" si="0"/>
        <v>113.56882</v>
      </c>
      <c r="J7" s="317">
        <v>30</v>
      </c>
      <c r="K7" s="318">
        <f t="shared" ref="K7:K40" si="1">SUM(I7:J7)</f>
        <v>143.56882000000002</v>
      </c>
      <c r="L7" s="26" t="s">
        <v>356</v>
      </c>
      <c r="M7" s="149"/>
      <c r="N7" s="26"/>
      <c r="O7" s="26"/>
      <c r="P7" s="25"/>
      <c r="Q7" s="25" t="s">
        <v>186</v>
      </c>
      <c r="R7" s="27">
        <f>K7</f>
        <v>143.56882000000002</v>
      </c>
      <c r="S7" s="25"/>
      <c r="T7" s="26"/>
      <c r="U7" s="26"/>
      <c r="V7" s="26"/>
    </row>
    <row r="8" spans="3:22" x14ac:dyDescent="0.2">
      <c r="C8" s="10" t="s">
        <v>230</v>
      </c>
      <c r="D8" s="208" t="s">
        <v>188</v>
      </c>
      <c r="E8" s="208">
        <v>25</v>
      </c>
      <c r="F8" s="208"/>
      <c r="G8" s="317">
        <f>E8*IF(ISBLANK('General Assumptions'!$G$20),'General Assumptions'!$E$20,'General Assumptions'!$G$20)</f>
        <v>437.5</v>
      </c>
      <c r="H8" s="317"/>
      <c r="I8" s="317">
        <f t="shared" si="0"/>
        <v>437.5</v>
      </c>
      <c r="J8" s="317">
        <v>3.92</v>
      </c>
      <c r="K8" s="318">
        <f t="shared" si="1"/>
        <v>441.42</v>
      </c>
      <c r="L8" s="26" t="s">
        <v>231</v>
      </c>
      <c r="M8" s="26"/>
      <c r="N8" s="26"/>
      <c r="O8" s="26"/>
      <c r="P8" s="25"/>
      <c r="Q8" s="25" t="s">
        <v>189</v>
      </c>
      <c r="R8" s="27">
        <f>K9</f>
        <v>189.58763999999999</v>
      </c>
      <c r="S8" s="25"/>
      <c r="T8" s="26"/>
      <c r="U8" s="26"/>
      <c r="V8" s="26"/>
    </row>
    <row r="9" spans="3:22" x14ac:dyDescent="0.2">
      <c r="C9" s="10" t="s">
        <v>249</v>
      </c>
      <c r="D9" s="208" t="s">
        <v>191</v>
      </c>
      <c r="E9" s="208">
        <v>2</v>
      </c>
      <c r="F9" s="208">
        <v>2</v>
      </c>
      <c r="G9" s="317">
        <f>E9*IF(ISBLANK('General Assumptions'!$G$19),'General Assumptions'!$E$19,'General Assumptions'!$G$19)</f>
        <v>46</v>
      </c>
      <c r="H9" s="317">
        <f>F9*('Machinery &amp; Equipment'!S7)</f>
        <v>40.737639999999999</v>
      </c>
      <c r="I9" s="317">
        <f t="shared" si="0"/>
        <v>86.737639999999999</v>
      </c>
      <c r="J9" s="317">
        <f>IF('General Assumptions'!G10="",'General Assumptions'!E10,'General Assumptions'!G10)*IF(ISBLANK('General Assumptions'!G26),'General Assumptions'!E26,'General Assumptions'!G26)*IF(ISBLANK('General Assumptions'!G25),'General Assumptions'!E25,'General Assumptions'!G25)</f>
        <v>102.85</v>
      </c>
      <c r="K9" s="318">
        <f t="shared" si="1"/>
        <v>189.58763999999999</v>
      </c>
      <c r="L9" s="26"/>
      <c r="M9" s="149"/>
      <c r="N9" s="26"/>
      <c r="O9" s="26"/>
      <c r="P9" s="25"/>
      <c r="Q9" s="25" t="s">
        <v>192</v>
      </c>
      <c r="R9" s="27">
        <f>K6</f>
        <v>460</v>
      </c>
      <c r="S9" s="25"/>
      <c r="T9" s="26"/>
      <c r="U9" s="26"/>
      <c r="V9" s="26"/>
    </row>
    <row r="10" spans="3:22" x14ac:dyDescent="0.2">
      <c r="C10" s="10" t="s">
        <v>357</v>
      </c>
      <c r="D10" s="208" t="s">
        <v>191</v>
      </c>
      <c r="E10" s="208">
        <v>2.6</v>
      </c>
      <c r="F10" s="208">
        <v>2</v>
      </c>
      <c r="G10" s="317">
        <f>E10*IF(ISBLANK('General Assumptions'!$G$19),'General Assumptions'!$E$19,'General Assumptions'!$G$19)</f>
        <v>59.800000000000004</v>
      </c>
      <c r="H10" s="317">
        <f>F10*('Machinery &amp; Equipment'!S7+'Machinery &amp; Equipment'!S9)</f>
        <v>42.747639999999997</v>
      </c>
      <c r="I10" s="317">
        <f t="shared" si="0"/>
        <v>102.54764</v>
      </c>
      <c r="J10" s="317">
        <f>'Ex. Herbidcide Program'!J21</f>
        <v>32.643124999999998</v>
      </c>
      <c r="K10" s="318">
        <f t="shared" si="1"/>
        <v>135.190765</v>
      </c>
      <c r="L10" s="26" t="s">
        <v>233</v>
      </c>
      <c r="M10" s="26"/>
      <c r="N10" s="26"/>
      <c r="O10" s="26"/>
      <c r="P10" s="25"/>
      <c r="Q10" s="25" t="s">
        <v>194</v>
      </c>
      <c r="R10" s="27">
        <f>SUM(G10:H10)+SUM(G12:H12)+'General Assumptions'!N21</f>
        <v>165.26257099999998</v>
      </c>
      <c r="S10" s="25"/>
      <c r="T10" s="26"/>
      <c r="U10" s="26"/>
      <c r="V10" s="26"/>
    </row>
    <row r="11" spans="3:22" x14ac:dyDescent="0.2">
      <c r="C11" s="10" t="s">
        <v>358</v>
      </c>
      <c r="D11" s="208" t="s">
        <v>201</v>
      </c>
      <c r="E11" s="208"/>
      <c r="F11" s="208"/>
      <c r="G11" s="317"/>
      <c r="H11" s="317"/>
      <c r="I11" s="317">
        <f t="shared" si="0"/>
        <v>0</v>
      </c>
      <c r="J11" s="317">
        <f>'Ex. Fertilizer Program'!F12</f>
        <v>6.5949999999999998</v>
      </c>
      <c r="K11" s="318">
        <f t="shared" si="1"/>
        <v>6.5949999999999998</v>
      </c>
      <c r="L11" s="26" t="s">
        <v>216</v>
      </c>
      <c r="M11" s="149"/>
      <c r="N11" s="26"/>
      <c r="O11" s="26"/>
      <c r="P11" s="25"/>
      <c r="Q11" s="25" t="s">
        <v>197</v>
      </c>
      <c r="R11" s="27">
        <f>SUM(G30:H30)+SUM(G34:G35)+G37+H37+'General Assumptions'!N23</f>
        <v>171.45639466666668</v>
      </c>
      <c r="S11" s="25"/>
      <c r="T11" s="26"/>
      <c r="U11" s="26"/>
      <c r="V11" s="26"/>
    </row>
    <row r="12" spans="3:22" x14ac:dyDescent="0.2">
      <c r="C12" s="10" t="s">
        <v>240</v>
      </c>
      <c r="D12" s="208" t="s">
        <v>191</v>
      </c>
      <c r="E12" s="208">
        <v>0.4</v>
      </c>
      <c r="F12" s="208">
        <v>0.3</v>
      </c>
      <c r="G12" s="317">
        <f>E12*IF(ISBLANK('General Assumptions'!$G$19),'General Assumptions'!$E$19,'General Assumptions'!$G$19)</f>
        <v>9.2000000000000011</v>
      </c>
      <c r="H12" s="317">
        <f>F12*('Machinery &amp; Equipment'!S7+'Machinery &amp; Equipment'!S9)</f>
        <v>6.412145999999999</v>
      </c>
      <c r="I12" s="317">
        <f t="shared" si="0"/>
        <v>15.612145999999999</v>
      </c>
      <c r="J12" s="317">
        <f>'Ex. Herbidcide Program'!J23</f>
        <v>14.45966</v>
      </c>
      <c r="K12" s="318">
        <f t="shared" si="1"/>
        <v>30.071805999999999</v>
      </c>
      <c r="L12" s="26" t="s">
        <v>212</v>
      </c>
      <c r="M12" s="149"/>
      <c r="N12" s="26"/>
      <c r="O12" s="26"/>
      <c r="P12" s="25"/>
      <c r="Q12" s="25" t="s">
        <v>199</v>
      </c>
      <c r="R12" s="27">
        <f>K8+K13+K14+K15+K31+K32+K33</f>
        <v>1687.605168</v>
      </c>
      <c r="S12" s="25"/>
      <c r="T12" s="26"/>
      <c r="U12" s="26"/>
      <c r="V12" s="26"/>
    </row>
    <row r="13" spans="3:22" x14ac:dyDescent="0.2">
      <c r="C13" s="10" t="s">
        <v>359</v>
      </c>
      <c r="D13" s="208" t="s">
        <v>188</v>
      </c>
      <c r="E13" s="208">
        <v>15</v>
      </c>
      <c r="F13" s="208"/>
      <c r="G13" s="317">
        <f>E13*IF(ISBLANK('General Assumptions'!$G$20),'General Assumptions'!$E$20,'General Assumptions'!$G$20)</f>
        <v>262.5</v>
      </c>
      <c r="H13" s="317"/>
      <c r="I13" s="317">
        <f t="shared" si="0"/>
        <v>262.5</v>
      </c>
      <c r="J13" s="317"/>
      <c r="K13" s="318">
        <f t="shared" si="1"/>
        <v>262.5</v>
      </c>
      <c r="L13" s="26" t="s">
        <v>216</v>
      </c>
      <c r="M13" s="149"/>
      <c r="N13" s="26"/>
      <c r="O13" s="26"/>
      <c r="P13" s="25"/>
      <c r="Q13" s="25" t="s">
        <v>203</v>
      </c>
      <c r="R13" s="27">
        <f>SUM(G18:G28)+SUM(H18:H28)+'General Assumptions'!N19</f>
        <v>829.53891625000006</v>
      </c>
      <c r="S13" s="25"/>
      <c r="T13" s="26"/>
      <c r="U13" s="26"/>
      <c r="V13" s="26"/>
    </row>
    <row r="14" spans="3:22" x14ac:dyDescent="0.2">
      <c r="C14" s="10" t="s">
        <v>361</v>
      </c>
      <c r="D14" s="208" t="s">
        <v>188</v>
      </c>
      <c r="E14" s="208">
        <v>15</v>
      </c>
      <c r="F14" s="208"/>
      <c r="G14" s="317">
        <f>E14*IF(ISBLANK('General Assumptions'!$G$20),'General Assumptions'!$E$20,'General Assumptions'!$G$20)</f>
        <v>262.5</v>
      </c>
      <c r="H14" s="317"/>
      <c r="I14" s="317">
        <f t="shared" si="0"/>
        <v>262.5</v>
      </c>
      <c r="J14" s="317"/>
      <c r="K14" s="318">
        <f t="shared" si="1"/>
        <v>262.5</v>
      </c>
      <c r="L14" s="26" t="s">
        <v>231</v>
      </c>
      <c r="M14" s="26"/>
      <c r="N14" s="26"/>
      <c r="O14" s="26"/>
      <c r="P14" s="25"/>
      <c r="Q14" s="25" t="s">
        <v>204</v>
      </c>
      <c r="R14" s="27">
        <f>K16+K36</f>
        <v>203.07527999999999</v>
      </c>
      <c r="S14" s="25"/>
      <c r="T14" s="26"/>
      <c r="U14" s="26"/>
      <c r="V14" s="26"/>
    </row>
    <row r="15" spans="3:22" x14ac:dyDescent="0.2">
      <c r="C15" s="10" t="s">
        <v>363</v>
      </c>
      <c r="D15" s="208" t="s">
        <v>188</v>
      </c>
      <c r="E15" s="208">
        <v>15</v>
      </c>
      <c r="F15" s="208"/>
      <c r="G15" s="317">
        <f>E15*IF(ISBLANK('General Assumptions'!$G$20),'General Assumptions'!$E$20,'General Assumptions'!$G$20)</f>
        <v>262.5</v>
      </c>
      <c r="H15" s="317"/>
      <c r="I15" s="317">
        <f t="shared" si="0"/>
        <v>262.5</v>
      </c>
      <c r="J15" s="317"/>
      <c r="K15" s="318">
        <f t="shared" si="1"/>
        <v>262.5</v>
      </c>
      <c r="L15" s="26" t="s">
        <v>231</v>
      </c>
      <c r="M15" s="26"/>
      <c r="N15" s="26"/>
      <c r="O15" s="26"/>
      <c r="P15" s="25"/>
      <c r="Q15" s="25" t="s">
        <v>206</v>
      </c>
      <c r="R15" s="27">
        <f>K29</f>
        <v>103.09764000000001</v>
      </c>
      <c r="S15" s="25"/>
      <c r="T15" s="26"/>
      <c r="U15" s="26"/>
      <c r="V15" s="26"/>
    </row>
    <row r="16" spans="3:22" x14ac:dyDescent="0.2">
      <c r="C16" s="10" t="s">
        <v>364</v>
      </c>
      <c r="D16" s="208" t="s">
        <v>191</v>
      </c>
      <c r="E16" s="208">
        <v>3</v>
      </c>
      <c r="F16" s="208">
        <v>2.5</v>
      </c>
      <c r="G16" s="317">
        <f>E16*IF(ISBLANK('General Assumptions'!$G$19),'General Assumptions'!$E$19,'General Assumptions'!$G$19)</f>
        <v>69</v>
      </c>
      <c r="H16" s="317">
        <f>F16*'Machinery &amp; Equipment'!S7+'Machinery &amp; Equipment'!S13</f>
        <v>56.322049999999997</v>
      </c>
      <c r="I16" s="317">
        <f t="shared" si="0"/>
        <v>125.32204999999999</v>
      </c>
      <c r="J16" s="317"/>
      <c r="K16" s="318">
        <f t="shared" si="1"/>
        <v>125.32204999999999</v>
      </c>
      <c r="L16" s="26" t="s">
        <v>231</v>
      </c>
      <c r="M16" s="26"/>
      <c r="N16" s="26"/>
      <c r="O16" s="26"/>
      <c r="P16" s="25"/>
      <c r="Q16" s="25" t="s">
        <v>207</v>
      </c>
      <c r="R16" s="27">
        <f>K17</f>
        <v>70</v>
      </c>
      <c r="S16" s="25"/>
      <c r="T16" s="26"/>
      <c r="U16" s="26"/>
      <c r="V16" s="26"/>
    </row>
    <row r="17" spans="3:22" x14ac:dyDescent="0.2">
      <c r="C17" s="10" t="s">
        <v>252</v>
      </c>
      <c r="D17" s="208" t="s">
        <v>179</v>
      </c>
      <c r="E17" s="208"/>
      <c r="F17" s="208"/>
      <c r="G17" s="317"/>
      <c r="H17" s="317"/>
      <c r="I17" s="317">
        <f t="shared" si="0"/>
        <v>0</v>
      </c>
      <c r="J17" s="317">
        <v>70</v>
      </c>
      <c r="K17" s="318">
        <f t="shared" si="1"/>
        <v>70</v>
      </c>
      <c r="L17" s="26" t="s">
        <v>214</v>
      </c>
      <c r="M17" s="26"/>
      <c r="N17" s="321"/>
      <c r="O17" s="26"/>
      <c r="P17" s="25"/>
      <c r="Q17" s="25" t="s">
        <v>360</v>
      </c>
      <c r="R17" s="27">
        <f>K39</f>
        <v>71</v>
      </c>
      <c r="S17" s="25"/>
      <c r="T17" s="26"/>
      <c r="U17" s="26"/>
      <c r="V17" s="26"/>
    </row>
    <row r="18" spans="3:22" x14ac:dyDescent="0.2">
      <c r="C18" s="10" t="s">
        <v>221</v>
      </c>
      <c r="D18" s="208" t="s">
        <v>191</v>
      </c>
      <c r="E18" s="208">
        <v>0.6</v>
      </c>
      <c r="F18" s="208">
        <v>0.5</v>
      </c>
      <c r="G18" s="317">
        <f>E18*IF(ISBLANK('General Assumptions'!$G$19),'General Assumptions'!$E$19,'General Assumptions'!$G$19)</f>
        <v>13.799999999999999</v>
      </c>
      <c r="H18" s="317">
        <f>F18*('Machinery &amp; Equipment'!$S$7+'Machinery &amp; Equipment'!$S$8)</f>
        <v>15.43441</v>
      </c>
      <c r="I18" s="317">
        <f t="shared" si="0"/>
        <v>29.234409999999997</v>
      </c>
      <c r="J18" s="317">
        <f>'Ex. Spray Program'!I7</f>
        <v>14.248541666666668</v>
      </c>
      <c r="K18" s="318">
        <f t="shared" si="1"/>
        <v>43.482951666666665</v>
      </c>
      <c r="L18" s="26" t="s">
        <v>253</v>
      </c>
      <c r="M18" s="149"/>
      <c r="N18" s="321"/>
      <c r="O18" s="26"/>
      <c r="P18" s="25"/>
      <c r="Q18" s="25" t="s">
        <v>362</v>
      </c>
      <c r="R18" s="27">
        <f>K38</f>
        <v>109</v>
      </c>
      <c r="S18" s="25"/>
      <c r="T18" s="26"/>
      <c r="U18" s="26"/>
      <c r="V18" s="26"/>
    </row>
    <row r="19" spans="3:22" x14ac:dyDescent="0.2">
      <c r="C19" s="10" t="s">
        <v>222</v>
      </c>
      <c r="D19" s="208" t="s">
        <v>191</v>
      </c>
      <c r="E19" s="208">
        <v>0.6</v>
      </c>
      <c r="F19" s="208">
        <v>0.5</v>
      </c>
      <c r="G19" s="317">
        <f>E19*IF(ISBLANK('General Assumptions'!$G$19),'General Assumptions'!$E$19,'General Assumptions'!$G$19)</f>
        <v>13.799999999999999</v>
      </c>
      <c r="H19" s="317">
        <f>F19*('Machinery &amp; Equipment'!$S$7+'Machinery &amp; Equipment'!$S$8)</f>
        <v>15.43441</v>
      </c>
      <c r="I19" s="317">
        <f t="shared" si="0"/>
        <v>29.234409999999997</v>
      </c>
      <c r="J19" s="317">
        <f>'Ex. Spray Program'!I10</f>
        <v>14.248541666666668</v>
      </c>
      <c r="K19" s="318">
        <f t="shared" si="1"/>
        <v>43.482951666666665</v>
      </c>
      <c r="L19" s="26" t="s">
        <v>365</v>
      </c>
      <c r="M19" s="26"/>
      <c r="N19" s="149"/>
      <c r="O19" s="26"/>
      <c r="P19" s="25"/>
      <c r="Q19" s="25"/>
      <c r="R19" s="25"/>
      <c r="S19" s="25"/>
      <c r="T19" s="26"/>
      <c r="U19" s="26"/>
      <c r="V19" s="26"/>
    </row>
    <row r="20" spans="3:22" x14ac:dyDescent="0.2">
      <c r="C20" s="10" t="s">
        <v>223</v>
      </c>
      <c r="D20" s="208" t="s">
        <v>191</v>
      </c>
      <c r="E20" s="208">
        <v>0.6</v>
      </c>
      <c r="F20" s="208">
        <v>0.5</v>
      </c>
      <c r="G20" s="317">
        <f>E20*IF(ISBLANK('General Assumptions'!$G$19),'General Assumptions'!$E$19,'General Assumptions'!$G$19)</f>
        <v>13.799999999999999</v>
      </c>
      <c r="H20" s="317">
        <f>F20*('Machinery &amp; Equipment'!$S$7+'Machinery &amp; Equipment'!$S$8)</f>
        <v>15.43441</v>
      </c>
      <c r="I20" s="317">
        <f t="shared" si="0"/>
        <v>29.234409999999997</v>
      </c>
      <c r="J20" s="317">
        <f>'Ex. Spray Program'!I13</f>
        <v>53.873541666666661</v>
      </c>
      <c r="K20" s="318">
        <f t="shared" si="1"/>
        <v>83.107951666666651</v>
      </c>
      <c r="L20" s="26" t="s">
        <v>365</v>
      </c>
      <c r="M20" s="26"/>
      <c r="N20" s="26"/>
      <c r="O20" s="26"/>
      <c r="P20" s="25"/>
      <c r="Q20" s="25"/>
      <c r="R20" s="25"/>
      <c r="S20" s="25"/>
      <c r="T20" s="26"/>
      <c r="U20" s="26"/>
      <c r="V20" s="26"/>
    </row>
    <row r="21" spans="3:22" x14ac:dyDescent="0.2">
      <c r="C21" s="10" t="s">
        <v>242</v>
      </c>
      <c r="D21" s="208" t="s">
        <v>191</v>
      </c>
      <c r="E21" s="208">
        <v>0.6</v>
      </c>
      <c r="F21" s="208">
        <v>0.5</v>
      </c>
      <c r="G21" s="317">
        <f>E21*IF(ISBLANK('General Assumptions'!$G$19),'General Assumptions'!$E$19,'General Assumptions'!$G$19)</f>
        <v>13.799999999999999</v>
      </c>
      <c r="H21" s="317">
        <f>F21*('Machinery &amp; Equipment'!$S$7+'Machinery &amp; Equipment'!$S$8)</f>
        <v>15.43441</v>
      </c>
      <c r="I21" s="317">
        <f t="shared" si="0"/>
        <v>29.234409999999997</v>
      </c>
      <c r="J21" s="317">
        <f>'Ex. Spray Program'!I17</f>
        <v>54.106666666666669</v>
      </c>
      <c r="K21" s="318">
        <f t="shared" si="1"/>
        <v>83.341076666666666</v>
      </c>
      <c r="L21" s="26" t="s">
        <v>365</v>
      </c>
      <c r="M21" s="26"/>
      <c r="N21" s="26"/>
      <c r="O21" s="26"/>
      <c r="P21" s="25"/>
      <c r="Q21" s="25"/>
      <c r="R21" s="27">
        <f>SUM(R7:R18)</f>
        <v>4203.1924299166667</v>
      </c>
      <c r="S21" s="25"/>
      <c r="T21" s="26"/>
      <c r="U21" s="26"/>
      <c r="V21" s="26"/>
    </row>
    <row r="22" spans="3:22" x14ac:dyDescent="0.2">
      <c r="C22" s="10" t="s">
        <v>254</v>
      </c>
      <c r="D22" s="208" t="s">
        <v>191</v>
      </c>
      <c r="E22" s="208">
        <v>0.6</v>
      </c>
      <c r="F22" s="208">
        <v>0.5</v>
      </c>
      <c r="G22" s="317">
        <f>E22*IF(ISBLANK('General Assumptions'!$G$19),'General Assumptions'!$E$19,'General Assumptions'!$G$19)</f>
        <v>13.799999999999999</v>
      </c>
      <c r="H22" s="317">
        <f>F22*('Machinery &amp; Equipment'!$S$7+'Machinery &amp; Equipment'!$S$8)</f>
        <v>15.43441</v>
      </c>
      <c r="I22" s="317">
        <f t="shared" si="0"/>
        <v>29.234409999999997</v>
      </c>
      <c r="J22" s="317">
        <f>'Ex. Spray Program'!I21</f>
        <v>26.078541666666666</v>
      </c>
      <c r="K22" s="318">
        <f t="shared" si="1"/>
        <v>55.312951666666663</v>
      </c>
      <c r="L22" s="26" t="s">
        <v>365</v>
      </c>
      <c r="M22" s="26"/>
      <c r="N22" s="26"/>
      <c r="O22" s="26"/>
      <c r="P22" s="25"/>
      <c r="Q22" s="25"/>
      <c r="R22" s="25"/>
      <c r="S22" s="25"/>
      <c r="T22" s="26"/>
      <c r="U22" s="26"/>
      <c r="V22" s="26"/>
    </row>
    <row r="23" spans="3:22" x14ac:dyDescent="0.2">
      <c r="C23" s="10" t="s">
        <v>255</v>
      </c>
      <c r="D23" s="208" t="s">
        <v>191</v>
      </c>
      <c r="E23" s="208">
        <v>0.6</v>
      </c>
      <c r="F23" s="208">
        <v>0.5</v>
      </c>
      <c r="G23" s="317">
        <f>E23*IF(ISBLANK('General Assumptions'!$G$19),'General Assumptions'!$E$19,'General Assumptions'!$G$19)</f>
        <v>13.799999999999999</v>
      </c>
      <c r="H23" s="317">
        <f>F23*('Machinery &amp; Equipment'!$S$7+'Machinery &amp; Equipment'!$S$8)</f>
        <v>15.43441</v>
      </c>
      <c r="I23" s="317">
        <f t="shared" si="0"/>
        <v>29.234409999999997</v>
      </c>
      <c r="J23" s="317">
        <f>'Ex. Spray Program'!I23</f>
        <v>33.936041666666661</v>
      </c>
      <c r="K23" s="318">
        <f t="shared" si="1"/>
        <v>63.170451666666658</v>
      </c>
      <c r="L23" s="26" t="s">
        <v>365</v>
      </c>
      <c r="M23" s="26"/>
      <c r="N23" s="26"/>
      <c r="O23" s="26"/>
      <c r="P23" s="25"/>
      <c r="Q23" s="25"/>
      <c r="R23" s="25"/>
      <c r="S23" s="25"/>
      <c r="T23" s="26"/>
      <c r="U23" s="26"/>
      <c r="V23" s="26"/>
    </row>
    <row r="24" spans="3:22" x14ac:dyDescent="0.2">
      <c r="C24" s="10" t="s">
        <v>256</v>
      </c>
      <c r="D24" s="208" t="s">
        <v>191</v>
      </c>
      <c r="E24" s="208">
        <v>0.6</v>
      </c>
      <c r="F24" s="208">
        <v>0.5</v>
      </c>
      <c r="G24" s="317">
        <f>E24*IF(ISBLANK('General Assumptions'!$G$19),'General Assumptions'!$E$19,'General Assumptions'!$G$19)</f>
        <v>13.799999999999999</v>
      </c>
      <c r="H24" s="317">
        <f>F24*('Machinery &amp; Equipment'!$S$7+'Machinery &amp; Equipment'!$S$8)</f>
        <v>15.43441</v>
      </c>
      <c r="I24" s="317">
        <f t="shared" si="0"/>
        <v>29.234409999999997</v>
      </c>
      <c r="J24" s="317">
        <f>'Ex. Spray Program'!I27</f>
        <v>49.413541666666667</v>
      </c>
      <c r="K24" s="318">
        <f t="shared" si="1"/>
        <v>78.647951666666671</v>
      </c>
      <c r="L24" s="26" t="s">
        <v>365</v>
      </c>
      <c r="M24" s="26"/>
      <c r="N24" s="26"/>
      <c r="O24" s="26"/>
      <c r="P24" s="25"/>
      <c r="Q24" s="25"/>
      <c r="R24" s="25"/>
      <c r="S24" s="25"/>
      <c r="T24" s="26"/>
      <c r="U24" s="26"/>
      <c r="V24" s="26"/>
    </row>
    <row r="25" spans="3:22" x14ac:dyDescent="0.2">
      <c r="C25" s="10" t="s">
        <v>366</v>
      </c>
      <c r="D25" s="208" t="s">
        <v>191</v>
      </c>
      <c r="E25" s="208">
        <v>0.6</v>
      </c>
      <c r="F25" s="208">
        <v>0.5</v>
      </c>
      <c r="G25" s="317">
        <f>E25*IF(ISBLANK('General Assumptions'!$G$19),'General Assumptions'!$E$19,'General Assumptions'!$G$19)</f>
        <v>13.799999999999999</v>
      </c>
      <c r="H25" s="317">
        <f>F25*('Machinery &amp; Equipment'!$S$7+'Machinery &amp; Equipment'!$S$8)</f>
        <v>15.43441</v>
      </c>
      <c r="I25" s="317">
        <f t="shared" si="0"/>
        <v>29.234409999999997</v>
      </c>
      <c r="J25" s="317">
        <f>'Ex. Spray Program'!I32</f>
        <v>94.275703125000007</v>
      </c>
      <c r="K25" s="318">
        <f t="shared" si="1"/>
        <v>123.510113125</v>
      </c>
      <c r="L25" s="26" t="s">
        <v>365</v>
      </c>
      <c r="M25" s="26"/>
      <c r="N25" s="26"/>
      <c r="O25" s="26"/>
      <c r="P25" s="25"/>
      <c r="Q25" s="27"/>
      <c r="R25" s="25"/>
      <c r="S25" s="25"/>
      <c r="T25" s="26"/>
      <c r="U25" s="26"/>
      <c r="V25" s="26"/>
    </row>
    <row r="26" spans="3:22" x14ac:dyDescent="0.2">
      <c r="C26" s="10" t="s">
        <v>367</v>
      </c>
      <c r="D26" s="208" t="s">
        <v>191</v>
      </c>
      <c r="E26" s="208">
        <v>0.6</v>
      </c>
      <c r="F26" s="208">
        <v>0.5</v>
      </c>
      <c r="G26" s="317">
        <f>E26*IF(ISBLANK('General Assumptions'!$G$19),'General Assumptions'!$E$19,'General Assumptions'!$G$19)</f>
        <v>13.799999999999999</v>
      </c>
      <c r="H26" s="317">
        <f>F26*('Machinery &amp; Equipment'!$S$7+'Machinery &amp; Equipment'!$S$8)</f>
        <v>15.43441</v>
      </c>
      <c r="I26" s="317">
        <f t="shared" si="0"/>
        <v>29.234409999999997</v>
      </c>
      <c r="J26" s="317">
        <f>'Ex. Spray Program'!I37</f>
        <v>59.27987499999999</v>
      </c>
      <c r="K26" s="318">
        <f t="shared" si="1"/>
        <v>88.514284999999987</v>
      </c>
      <c r="L26" s="26" t="s">
        <v>365</v>
      </c>
      <c r="M26" s="26"/>
      <c r="N26" s="26"/>
      <c r="O26" s="26"/>
      <c r="P26" s="25"/>
      <c r="Q26" s="27"/>
      <c r="R26" s="25"/>
      <c r="S26" s="25"/>
      <c r="T26" s="26"/>
      <c r="U26" s="26"/>
      <c r="V26" s="26"/>
    </row>
    <row r="27" spans="3:22" x14ac:dyDescent="0.2">
      <c r="C27" s="10" t="s">
        <v>368</v>
      </c>
      <c r="D27" s="208" t="s">
        <v>191</v>
      </c>
      <c r="E27" s="208">
        <v>0.6</v>
      </c>
      <c r="F27" s="208">
        <v>0.5</v>
      </c>
      <c r="G27" s="317">
        <f>E27*IF(ISBLANK('General Assumptions'!$G$19),'General Assumptions'!$E$19,'General Assumptions'!$G$19)</f>
        <v>13.799999999999999</v>
      </c>
      <c r="H27" s="317">
        <f>F27*('Machinery &amp; Equipment'!$S$7+'Machinery &amp; Equipment'!$S$8)</f>
        <v>15.43441</v>
      </c>
      <c r="I27" s="317">
        <f t="shared" si="0"/>
        <v>29.234409999999997</v>
      </c>
      <c r="J27" s="317">
        <f>'Ex. Spray Program'!I41</f>
        <v>45.341541666666664</v>
      </c>
      <c r="K27" s="318">
        <f t="shared" si="1"/>
        <v>74.575951666666668</v>
      </c>
      <c r="L27" s="26" t="s">
        <v>365</v>
      </c>
      <c r="M27" s="26"/>
      <c r="N27" s="149"/>
      <c r="O27" s="149"/>
      <c r="P27" s="25"/>
      <c r="Q27" s="27"/>
      <c r="R27" s="25"/>
      <c r="S27" s="25"/>
      <c r="T27" s="26"/>
      <c r="U27" s="26"/>
      <c r="V27" s="26"/>
    </row>
    <row r="28" spans="3:22" x14ac:dyDescent="0.2">
      <c r="C28" s="10" t="s">
        <v>369</v>
      </c>
      <c r="D28" s="208" t="s">
        <v>191</v>
      </c>
      <c r="E28" s="208">
        <v>0.6</v>
      </c>
      <c r="F28" s="208">
        <v>0.5</v>
      </c>
      <c r="G28" s="317">
        <f>E28*IF(ISBLANK('General Assumptions'!$G$19),'General Assumptions'!$E$19,'General Assumptions'!$G$19)</f>
        <v>13.799999999999999</v>
      </c>
      <c r="H28" s="317">
        <f>F28*('Machinery &amp; Equipment'!$S$7+'Machinery &amp; Equipment'!$S$8)</f>
        <v>15.43441</v>
      </c>
      <c r="I28" s="317">
        <f t="shared" si="0"/>
        <v>29.234409999999997</v>
      </c>
      <c r="J28" s="317">
        <f>'Ex. Spray Program'!I45</f>
        <v>63.15786979166667</v>
      </c>
      <c r="K28" s="318">
        <f t="shared" si="1"/>
        <v>92.392279791666667</v>
      </c>
      <c r="L28" s="26" t="s">
        <v>365</v>
      </c>
      <c r="M28" s="26"/>
      <c r="N28" s="26"/>
      <c r="O28" s="26"/>
      <c r="P28" s="25"/>
      <c r="Q28" s="27"/>
      <c r="R28" s="25"/>
      <c r="S28" s="25"/>
      <c r="T28" s="26"/>
      <c r="U28" s="26"/>
      <c r="V28" s="26"/>
    </row>
    <row r="29" spans="3:22" x14ac:dyDescent="0.2">
      <c r="C29" s="10" t="s">
        <v>243</v>
      </c>
      <c r="D29" s="208" t="s">
        <v>191</v>
      </c>
      <c r="E29" s="208">
        <v>2.6</v>
      </c>
      <c r="F29" s="208">
        <v>2</v>
      </c>
      <c r="G29" s="317">
        <f>E29*IF(ISBLANK('General Assumptions'!$G$19),'General Assumptions'!$E$19,'General Assumptions'!$G$19)</f>
        <v>59.800000000000004</v>
      </c>
      <c r="H29" s="317">
        <f>F29*('Machinery &amp; Equipment'!S7+'Machinery &amp; Equipment'!S10)</f>
        <v>43.297640000000001</v>
      </c>
      <c r="I29" s="317">
        <f t="shared" si="0"/>
        <v>103.09764000000001</v>
      </c>
      <c r="J29" s="317"/>
      <c r="K29" s="318">
        <f t="shared" si="1"/>
        <v>103.09764000000001</v>
      </c>
      <c r="L29" s="26" t="s">
        <v>365</v>
      </c>
      <c r="M29" s="26"/>
      <c r="N29" s="26"/>
      <c r="O29" s="26"/>
      <c r="P29" s="25"/>
      <c r="Q29" s="27"/>
      <c r="R29" s="25"/>
      <c r="S29" s="25"/>
      <c r="T29" s="26"/>
      <c r="U29" s="26"/>
      <c r="V29" s="26"/>
    </row>
    <row r="30" spans="3:22" x14ac:dyDescent="0.2">
      <c r="C30" s="10" t="s">
        <v>370</v>
      </c>
      <c r="D30" s="208" t="s">
        <v>191</v>
      </c>
      <c r="E30" s="208">
        <v>0.1</v>
      </c>
      <c r="F30" s="208">
        <v>0.1</v>
      </c>
      <c r="G30" s="317">
        <f>E30*IF(ISBLANK('General Assumptions'!$G$19),'General Assumptions'!$E$19,'General Assumptions'!$G$19)</f>
        <v>2.3000000000000003</v>
      </c>
      <c r="H30" s="317">
        <f>F30*('Machinery &amp; Equipment'!S7+'Machinery &amp; Equipment'!S11)</f>
        <v>2.2035486666666668</v>
      </c>
      <c r="I30" s="317">
        <f t="shared" si="0"/>
        <v>4.5035486666666671</v>
      </c>
      <c r="J30" s="317">
        <f>'Ex. Fertilizer Program'!F15</f>
        <v>45</v>
      </c>
      <c r="K30" s="318">
        <f t="shared" si="1"/>
        <v>49.503548666666667</v>
      </c>
      <c r="L30" s="26" t="s">
        <v>244</v>
      </c>
      <c r="M30" s="26"/>
      <c r="N30" s="26"/>
      <c r="O30" s="26"/>
      <c r="P30" s="25"/>
      <c r="Q30" s="27"/>
      <c r="R30" s="25"/>
      <c r="S30" s="25"/>
      <c r="T30" s="26"/>
      <c r="U30" s="26"/>
      <c r="V30" s="26"/>
    </row>
    <row r="31" spans="3:22" ht="17" x14ac:dyDescent="0.2">
      <c r="C31" s="267" t="s">
        <v>371</v>
      </c>
      <c r="D31" s="208" t="s">
        <v>188</v>
      </c>
      <c r="E31" s="208">
        <v>10</v>
      </c>
      <c r="F31" s="208"/>
      <c r="G31" s="317">
        <f>E31*IF(ISBLANK('General Assumptions'!$G$20),'General Assumptions'!$E$20,'General Assumptions'!$G$20)</f>
        <v>175</v>
      </c>
      <c r="H31" s="317"/>
      <c r="I31" s="317">
        <f t="shared" si="0"/>
        <v>175</v>
      </c>
      <c r="J31" s="317"/>
      <c r="K31" s="318">
        <f t="shared" si="1"/>
        <v>175</v>
      </c>
      <c r="L31" s="26" t="s">
        <v>212</v>
      </c>
      <c r="M31" s="26"/>
      <c r="N31" s="26"/>
      <c r="O31" s="26"/>
      <c r="P31" s="25"/>
      <c r="Q31" s="27"/>
      <c r="R31" s="25"/>
      <c r="S31" s="25"/>
      <c r="T31" s="26"/>
      <c r="U31" s="26"/>
      <c r="V31" s="26"/>
    </row>
    <row r="32" spans="3:22" ht="34" x14ac:dyDescent="0.2">
      <c r="C32" s="267" t="s">
        <v>372</v>
      </c>
      <c r="D32" s="208" t="s">
        <v>188</v>
      </c>
      <c r="E32" s="208">
        <v>10</v>
      </c>
      <c r="F32" s="208"/>
      <c r="G32" s="317">
        <f>E32*IF(ISBLANK('General Assumptions'!$G$20),'General Assumptions'!$E$20,'General Assumptions'!$G$20)</f>
        <v>175</v>
      </c>
      <c r="H32" s="317"/>
      <c r="I32" s="317">
        <f t="shared" si="0"/>
        <v>175</v>
      </c>
      <c r="J32" s="317"/>
      <c r="K32" s="318">
        <f t="shared" si="1"/>
        <v>175</v>
      </c>
      <c r="L32" s="26"/>
      <c r="M32" s="26"/>
      <c r="N32" s="26"/>
      <c r="O32" s="26"/>
      <c r="P32" s="25"/>
      <c r="Q32" s="27"/>
      <c r="R32" s="25"/>
      <c r="S32" s="25"/>
      <c r="T32" s="26"/>
      <c r="U32" s="26"/>
      <c r="V32" s="26"/>
    </row>
    <row r="33" spans="3:22" x14ac:dyDescent="0.2">
      <c r="C33" s="10" t="s">
        <v>373</v>
      </c>
      <c r="D33" s="208" t="s">
        <v>191</v>
      </c>
      <c r="E33" s="208">
        <v>2.6</v>
      </c>
      <c r="F33" s="208">
        <v>2.4</v>
      </c>
      <c r="G33" s="317">
        <f>E33*IF(ISBLANK('General Assumptions'!$G$19),'General Assumptions'!$E$19,'General Assumptions'!$G$19)</f>
        <v>59.800000000000004</v>
      </c>
      <c r="H33" s="317">
        <f>F33*('Machinery &amp; Equipment'!S7)</f>
        <v>48.885168</v>
      </c>
      <c r="I33" s="317">
        <f t="shared" si="0"/>
        <v>108.685168</v>
      </c>
      <c r="J33" s="317"/>
      <c r="K33" s="318">
        <f t="shared" si="1"/>
        <v>108.685168</v>
      </c>
      <c r="L33" s="26" t="s">
        <v>231</v>
      </c>
      <c r="M33" s="26"/>
      <c r="N33" s="26"/>
      <c r="O33" s="26"/>
      <c r="P33" s="25"/>
      <c r="Q33" s="27"/>
      <c r="R33" s="25"/>
      <c r="S33" s="25"/>
      <c r="T33" s="26"/>
      <c r="U33" s="26"/>
      <c r="V33" s="26"/>
    </row>
    <row r="34" spans="3:22" x14ac:dyDescent="0.2">
      <c r="C34" s="10" t="s">
        <v>374</v>
      </c>
      <c r="D34" s="208" t="s">
        <v>191</v>
      </c>
      <c r="E34" s="208">
        <v>0.1</v>
      </c>
      <c r="F34" s="208"/>
      <c r="G34" s="317">
        <f>E34*IF(ISBLANK('General Assumptions'!$G$19),'General Assumptions'!$E$19,'General Assumptions'!$G$19)</f>
        <v>2.3000000000000003</v>
      </c>
      <c r="H34" s="317"/>
      <c r="I34" s="317">
        <f t="shared" si="0"/>
        <v>2.3000000000000003</v>
      </c>
      <c r="J34" s="317">
        <f>'Ex. Fertilizer Program'!F16</f>
        <v>3.84</v>
      </c>
      <c r="K34" s="318">
        <f t="shared" si="1"/>
        <v>6.1400000000000006</v>
      </c>
      <c r="L34" s="26" t="s">
        <v>231</v>
      </c>
      <c r="M34" s="26"/>
      <c r="N34" s="26"/>
      <c r="O34" s="26"/>
      <c r="P34" s="25"/>
      <c r="Q34" s="27"/>
      <c r="R34" s="25"/>
      <c r="S34" s="25"/>
      <c r="T34" s="26">
        <f>14+4+4+6+6+6+2.6</f>
        <v>42.6</v>
      </c>
      <c r="U34" s="26"/>
      <c r="V34" s="26"/>
    </row>
    <row r="35" spans="3:22" ht="18" customHeight="1" x14ac:dyDescent="0.2">
      <c r="C35" s="10" t="s">
        <v>375</v>
      </c>
      <c r="D35" s="208" t="s">
        <v>191</v>
      </c>
      <c r="E35" s="208">
        <v>0.1</v>
      </c>
      <c r="F35" s="208"/>
      <c r="G35" s="317">
        <f>E35*IF(ISBLANK('General Assumptions'!$G$19),'General Assumptions'!$E$19,'General Assumptions'!$G$19)</f>
        <v>2.3000000000000003</v>
      </c>
      <c r="H35" s="317"/>
      <c r="I35" s="317">
        <f t="shared" si="0"/>
        <v>2.3000000000000003</v>
      </c>
      <c r="J35" s="317">
        <f>0.4</f>
        <v>0.4</v>
      </c>
      <c r="K35" s="318">
        <f t="shared" si="1"/>
        <v>2.7</v>
      </c>
      <c r="L35" s="26" t="s">
        <v>231</v>
      </c>
      <c r="M35" s="26"/>
      <c r="N35" s="26"/>
      <c r="O35" s="26"/>
      <c r="P35" s="25"/>
      <c r="Q35" s="27"/>
      <c r="R35" s="25"/>
      <c r="S35" s="25"/>
      <c r="T35" s="26"/>
      <c r="U35" s="26"/>
      <c r="V35" s="26"/>
    </row>
    <row r="36" spans="3:22" ht="19" customHeight="1" x14ac:dyDescent="0.2">
      <c r="C36" s="10" t="s">
        <v>376</v>
      </c>
      <c r="D36" s="208" t="s">
        <v>191</v>
      </c>
      <c r="E36" s="208">
        <v>1.7</v>
      </c>
      <c r="F36" s="208">
        <v>1.5</v>
      </c>
      <c r="G36" s="317">
        <f>E36*IF(ISBLANK('General Assumptions'!$G$19),'General Assumptions'!$E$19,'General Assumptions'!$G$19)</f>
        <v>39.1</v>
      </c>
      <c r="H36" s="317">
        <f>F36*('Machinery &amp; Equipment'!S7+'Machinery &amp; Equipment'!S13)</f>
        <v>38.653229999999994</v>
      </c>
      <c r="I36" s="317">
        <f t="shared" si="0"/>
        <v>77.753230000000002</v>
      </c>
      <c r="J36" s="317"/>
      <c r="K36" s="318">
        <f t="shared" si="1"/>
        <v>77.753230000000002</v>
      </c>
      <c r="L36" s="26" t="s">
        <v>212</v>
      </c>
      <c r="M36" s="26"/>
      <c r="N36" s="26"/>
      <c r="O36" s="26"/>
      <c r="P36" s="25"/>
      <c r="Q36" s="276"/>
      <c r="R36" s="25"/>
      <c r="S36" s="25"/>
      <c r="T36" s="26"/>
      <c r="U36" s="26"/>
      <c r="V36" s="26"/>
    </row>
    <row r="37" spans="3:22" x14ac:dyDescent="0.2">
      <c r="C37" s="10" t="s">
        <v>193</v>
      </c>
      <c r="D37" s="208" t="s">
        <v>191</v>
      </c>
      <c r="E37" s="208">
        <v>0.3</v>
      </c>
      <c r="F37" s="208">
        <v>0.3</v>
      </c>
      <c r="G37" s="317">
        <f>E37*IF(ISBLANK('General Assumptions'!$G$19),'General Assumptions'!$E$19,'General Assumptions'!$G$19)</f>
        <v>6.8999999999999995</v>
      </c>
      <c r="H37" s="317">
        <f>F37*('Machinery &amp; Equipment'!S7+'Machinery &amp; Equipment'!S11)</f>
        <v>6.610646</v>
      </c>
      <c r="I37" s="317">
        <f t="shared" si="0"/>
        <v>13.510645999999999</v>
      </c>
      <c r="J37" s="317">
        <f>'Ex. Fertilizer Program'!F13</f>
        <v>82.5</v>
      </c>
      <c r="K37" s="318">
        <f t="shared" si="1"/>
        <v>96.010645999999994</v>
      </c>
      <c r="L37" s="26" t="s">
        <v>212</v>
      </c>
      <c r="M37" s="26"/>
      <c r="N37" s="26"/>
      <c r="O37" s="26"/>
      <c r="P37" s="25"/>
      <c r="Q37" s="25"/>
      <c r="R37" s="25"/>
      <c r="S37" s="25"/>
      <c r="T37" s="26"/>
      <c r="U37" s="26"/>
      <c r="V37" s="26"/>
    </row>
    <row r="38" spans="3:22" x14ac:dyDescent="0.2">
      <c r="C38" s="10" t="s">
        <v>377</v>
      </c>
      <c r="D38" s="208"/>
      <c r="E38" s="208"/>
      <c r="F38" s="208"/>
      <c r="G38" s="317"/>
      <c r="H38" s="317"/>
      <c r="I38" s="317"/>
      <c r="J38" s="317">
        <v>109</v>
      </c>
      <c r="K38" s="318">
        <v>109</v>
      </c>
      <c r="L38" s="26" t="s">
        <v>214</v>
      </c>
      <c r="M38" s="26"/>
      <c r="N38" s="26"/>
      <c r="O38" s="26"/>
      <c r="P38" s="25"/>
      <c r="Q38" s="25"/>
      <c r="R38" s="25"/>
      <c r="S38" s="25"/>
      <c r="T38" s="26"/>
      <c r="U38" s="26"/>
      <c r="V38" s="26"/>
    </row>
    <row r="39" spans="3:22" x14ac:dyDescent="0.2">
      <c r="C39" s="268" t="s">
        <v>200</v>
      </c>
      <c r="D39" s="269" t="s">
        <v>201</v>
      </c>
      <c r="E39" s="269" t="s">
        <v>201</v>
      </c>
      <c r="F39" s="269" t="s">
        <v>201</v>
      </c>
      <c r="G39" s="319"/>
      <c r="H39" s="319">
        <v>71</v>
      </c>
      <c r="I39" s="317">
        <f>G39+H39</f>
        <v>71</v>
      </c>
      <c r="J39" s="319"/>
      <c r="K39" s="318">
        <f t="shared" si="1"/>
        <v>71</v>
      </c>
      <c r="L39" s="26" t="s">
        <v>212</v>
      </c>
      <c r="M39" s="26"/>
      <c r="N39" s="26"/>
      <c r="O39" s="26"/>
      <c r="P39" s="25"/>
      <c r="Q39" s="25"/>
      <c r="R39" s="25"/>
      <c r="S39" s="25"/>
      <c r="T39" s="26"/>
      <c r="U39" s="26"/>
      <c r="V39" s="26"/>
    </row>
    <row r="40" spans="3:22" ht="17" thickBot="1" x14ac:dyDescent="0.25">
      <c r="C40" s="270" t="s">
        <v>205</v>
      </c>
      <c r="D40" s="271"/>
      <c r="E40" s="272">
        <f>SUM(E5:E39)</f>
        <v>136.09999999999991</v>
      </c>
      <c r="F40" s="271">
        <f>SUM(F5:F39)</f>
        <v>19.600000000000001</v>
      </c>
      <c r="G40" s="320">
        <f>SUM(G5:G39)</f>
        <v>2635.3000000000015</v>
      </c>
      <c r="H40" s="320">
        <f>SUM(H5:H39)</f>
        <v>548.21703866666689</v>
      </c>
      <c r="I40" s="320">
        <f>G40+H40</f>
        <v>3183.5170386666687</v>
      </c>
      <c r="J40" s="320">
        <f>SUM(J5:J39)</f>
        <v>1009.1681912499999</v>
      </c>
      <c r="K40" s="490">
        <f t="shared" si="1"/>
        <v>4192.6852299166685</v>
      </c>
      <c r="L40" s="25"/>
      <c r="M40" s="25"/>
      <c r="N40" s="25"/>
      <c r="O40" s="25"/>
      <c r="P40" s="25"/>
      <c r="Q40" s="25"/>
      <c r="R40" s="25"/>
      <c r="S40" s="25"/>
      <c r="T40" s="26"/>
      <c r="U40" s="26"/>
      <c r="V40" s="26"/>
    </row>
    <row r="41" spans="3:22" x14ac:dyDescent="0.2">
      <c r="L41" s="25" t="s">
        <v>202</v>
      </c>
      <c r="M41" s="25"/>
      <c r="N41" s="25"/>
      <c r="O41" s="25"/>
      <c r="P41" s="25"/>
      <c r="Q41" s="25"/>
      <c r="R41" s="25"/>
      <c r="S41" s="25"/>
      <c r="T41" s="26"/>
      <c r="U41" s="26"/>
      <c r="V41" s="26"/>
    </row>
    <row r="42" spans="3:22" x14ac:dyDescent="0.2">
      <c r="G42" s="273"/>
      <c r="H42" s="273"/>
      <c r="I42" s="273"/>
      <c r="K42" s="266"/>
      <c r="L42" s="25"/>
      <c r="M42" s="25"/>
      <c r="N42" s="25"/>
      <c r="O42" s="25"/>
      <c r="P42" s="25"/>
      <c r="Q42" s="25"/>
      <c r="R42" s="25"/>
      <c r="S42" s="25"/>
      <c r="T42" s="26"/>
      <c r="U42" s="26"/>
      <c r="V42" s="26"/>
    </row>
    <row r="43" spans="3:22" x14ac:dyDescent="0.2">
      <c r="K43" s="266"/>
      <c r="L43" s="25"/>
      <c r="M43" s="25"/>
      <c r="N43" s="25"/>
      <c r="O43" s="25"/>
      <c r="P43" s="25"/>
      <c r="Q43" s="25"/>
      <c r="R43" s="25"/>
      <c r="S43" s="25"/>
      <c r="T43" s="26"/>
      <c r="U43" s="26"/>
      <c r="V43" s="26"/>
    </row>
    <row r="44" spans="3:22" x14ac:dyDescent="0.2">
      <c r="E44" s="274"/>
      <c r="F44" s="274"/>
      <c r="G44" s="273"/>
      <c r="H44" s="273"/>
      <c r="I44" s="273"/>
      <c r="J44" s="273"/>
      <c r="K44" s="273"/>
      <c r="L44" s="4"/>
      <c r="M44" s="4"/>
      <c r="N44" s="4"/>
      <c r="O44" s="4"/>
      <c r="P44" s="4"/>
      <c r="Q44" s="4"/>
      <c r="R44" s="4"/>
      <c r="S44" s="4"/>
    </row>
    <row r="45" spans="3:22" x14ac:dyDescent="0.2">
      <c r="P45" s="4"/>
      <c r="Q45" s="4"/>
      <c r="R45" s="4"/>
      <c r="S45" s="4"/>
    </row>
    <row r="46" spans="3:22" x14ac:dyDescent="0.2">
      <c r="E46" s="275"/>
      <c r="F46" s="275"/>
      <c r="G46" s="275"/>
      <c r="H46" s="275"/>
      <c r="I46" s="275"/>
      <c r="J46" s="275"/>
      <c r="K46" s="275"/>
      <c r="P46" s="4"/>
      <c r="Q46" s="4"/>
      <c r="R46" s="4"/>
      <c r="S46" s="4"/>
    </row>
    <row r="47" spans="3:22" x14ac:dyDescent="0.2">
      <c r="E47" s="275"/>
      <c r="F47" s="275"/>
      <c r="G47" s="275"/>
      <c r="H47" s="275"/>
      <c r="I47" s="275"/>
      <c r="J47" s="275"/>
      <c r="K47" s="275"/>
      <c r="P47" s="4"/>
      <c r="Q47" s="4"/>
      <c r="R47" s="4"/>
      <c r="S47" s="4"/>
    </row>
    <row r="48" spans="3:22" x14ac:dyDescent="0.2">
      <c r="P48" s="4"/>
      <c r="Q48" s="4"/>
      <c r="R48" s="4"/>
      <c r="S48" s="4"/>
    </row>
    <row r="49" spans="14:19" x14ac:dyDescent="0.2">
      <c r="P49" s="4"/>
      <c r="Q49" s="4"/>
      <c r="R49" s="4"/>
      <c r="S49" s="4"/>
    </row>
    <row r="50" spans="14:19" x14ac:dyDescent="0.2">
      <c r="N50" s="266"/>
      <c r="P50" s="4"/>
      <c r="Q50" s="4"/>
      <c r="R50" s="4"/>
      <c r="S50" s="4"/>
    </row>
    <row r="51" spans="14:19" x14ac:dyDescent="0.2">
      <c r="P51" s="4"/>
      <c r="Q51" s="4"/>
      <c r="R51" s="4"/>
      <c r="S51" s="4"/>
    </row>
    <row r="52" spans="14:19" x14ac:dyDescent="0.2">
      <c r="Q52" s="4"/>
      <c r="R52" s="4"/>
      <c r="S52" s="4"/>
    </row>
    <row r="53" spans="14:19" x14ac:dyDescent="0.2">
      <c r="Q53" s="4"/>
      <c r="R53" s="4"/>
      <c r="S53" s="4"/>
    </row>
  </sheetData>
  <sheetProtection algorithmName="SHA-512" hashValue="e9S78voXBYpv797Jb0rxMWsvBzYb9UkWBKB6vX+efau37OeF3IvVyJYTYLtquKv2rRdzjSwTmhveL1YifG9V+A==" saltValue="VplBsLbjwhXV3aZZUuEYvw==" spinCount="100000" sheet="1" objects="1" scenarios="1"/>
  <mergeCells count="1">
    <mergeCell ref="C3:K3"/>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D9946C-AF82-B349-8DAF-E8F5FAAFFBDE}">
  <sheetPr>
    <tabColor theme="1"/>
  </sheetPr>
  <dimension ref="C4:S76"/>
  <sheetViews>
    <sheetView topLeftCell="A33" zoomScale="60" zoomScaleNormal="60" workbookViewId="0">
      <selection activeCell="AT5" sqref="AT5"/>
    </sheetView>
  </sheetViews>
  <sheetFormatPr baseColWidth="10" defaultRowHeight="16" x14ac:dyDescent="0.2"/>
  <cols>
    <col min="1" max="1" width="10.83203125" style="3"/>
    <col min="2" max="2" width="2.5" style="3" customWidth="1"/>
    <col min="3" max="3" width="14.5" style="3" bestFit="1" customWidth="1"/>
    <col min="4" max="4" width="11.83203125" style="3" bestFit="1" customWidth="1"/>
    <col min="5" max="5" width="41" style="3" bestFit="1" customWidth="1"/>
    <col min="6" max="6" width="8" style="3" bestFit="1" customWidth="1"/>
    <col min="7" max="7" width="9.33203125" style="3" bestFit="1" customWidth="1"/>
    <col min="8" max="8" width="9.6640625" style="3" bestFit="1" customWidth="1"/>
    <col min="9" max="12" width="10.83203125" style="3"/>
    <col min="13" max="13" width="14.5" style="3" bestFit="1" customWidth="1"/>
    <col min="14" max="14" width="30.5" style="3" bestFit="1" customWidth="1"/>
    <col min="15" max="15" width="8" style="3" bestFit="1" customWidth="1"/>
    <col min="16" max="16" width="9" style="3" bestFit="1" customWidth="1"/>
    <col min="17" max="18" width="10.83203125" style="3"/>
    <col min="19" max="19" width="15.6640625" style="3" bestFit="1" customWidth="1"/>
    <col min="20" max="23" width="10.83203125" style="3"/>
    <col min="24" max="24" width="14.5" style="3" bestFit="1" customWidth="1"/>
    <col min="25" max="25" width="41" style="3" bestFit="1" customWidth="1"/>
    <col min="26" max="29" width="10.83203125" style="3"/>
    <col min="30" max="30" width="15.6640625" style="3" bestFit="1" customWidth="1"/>
    <col min="31" max="16384" width="10.83203125" style="3"/>
  </cols>
  <sheetData>
    <row r="4" spans="3:19" ht="17" thickBot="1" x14ac:dyDescent="0.25"/>
    <row r="5" spans="3:19" ht="22" thickBot="1" x14ac:dyDescent="0.25">
      <c r="C5" s="522" t="s">
        <v>144</v>
      </c>
      <c r="D5" s="582"/>
      <c r="E5" s="582"/>
      <c r="F5" s="582"/>
      <c r="G5" s="582"/>
      <c r="H5" s="582"/>
      <c r="I5" s="583"/>
      <c r="K5" s="579" t="s">
        <v>143</v>
      </c>
      <c r="L5" s="580"/>
      <c r="M5" s="580"/>
      <c r="N5" s="580"/>
      <c r="O5" s="580"/>
      <c r="P5" s="580"/>
      <c r="Q5" s="580"/>
      <c r="R5" s="580"/>
      <c r="S5" s="581"/>
    </row>
    <row r="6" spans="3:19" ht="17" thickBot="1" x14ac:dyDescent="0.25">
      <c r="C6" s="150" t="s">
        <v>125</v>
      </c>
      <c r="D6" s="151" t="s">
        <v>85</v>
      </c>
      <c r="E6" s="151" t="s">
        <v>116</v>
      </c>
      <c r="F6" s="151" t="s">
        <v>126</v>
      </c>
      <c r="G6" s="151" t="s">
        <v>127</v>
      </c>
      <c r="H6" s="151" t="s">
        <v>86</v>
      </c>
      <c r="I6" s="92" t="s">
        <v>128</v>
      </c>
      <c r="K6" s="152" t="s">
        <v>115</v>
      </c>
      <c r="L6" s="153" t="s">
        <v>125</v>
      </c>
      <c r="M6" s="153" t="s">
        <v>85</v>
      </c>
      <c r="N6" s="153" t="s">
        <v>116</v>
      </c>
      <c r="O6" s="153" t="s">
        <v>126</v>
      </c>
      <c r="P6" s="153" t="s">
        <v>127</v>
      </c>
      <c r="Q6" s="153" t="s">
        <v>86</v>
      </c>
      <c r="R6" s="153" t="s">
        <v>128</v>
      </c>
      <c r="S6" s="154" t="s">
        <v>142</v>
      </c>
    </row>
    <row r="7" spans="3:19" x14ac:dyDescent="0.2">
      <c r="C7" s="596">
        <v>1</v>
      </c>
      <c r="D7" s="100" t="s">
        <v>97</v>
      </c>
      <c r="E7" s="100" t="s">
        <v>129</v>
      </c>
      <c r="F7" s="100">
        <v>3</v>
      </c>
      <c r="G7" s="100" t="s">
        <v>91</v>
      </c>
      <c r="H7" s="78">
        <f>F7*G64</f>
        <v>9</v>
      </c>
      <c r="I7" s="591">
        <f>SUM(H7:H9)</f>
        <v>14.248541666666668</v>
      </c>
      <c r="K7" s="576">
        <v>1</v>
      </c>
      <c r="L7" s="575">
        <v>1</v>
      </c>
      <c r="M7" s="108" t="s">
        <v>117</v>
      </c>
      <c r="N7" s="108" t="s">
        <v>118</v>
      </c>
      <c r="O7" s="108">
        <v>3</v>
      </c>
      <c r="P7" s="102" t="s">
        <v>91</v>
      </c>
      <c r="Q7" s="103">
        <f>O7*G$61</f>
        <v>24.997499999999999</v>
      </c>
      <c r="R7" s="590">
        <f>SUM(Q7:Q9)</f>
        <v>30.246041666666667</v>
      </c>
      <c r="S7" s="567">
        <f>SUM(R7:R15)</f>
        <v>90.738124999999997</v>
      </c>
    </row>
    <row r="8" spans="3:19" x14ac:dyDescent="0.2">
      <c r="C8" s="577"/>
      <c r="D8" s="1" t="s">
        <v>107</v>
      </c>
      <c r="E8" s="71" t="s">
        <v>120</v>
      </c>
      <c r="F8" s="71">
        <v>4</v>
      </c>
      <c r="G8" s="71" t="s">
        <v>119</v>
      </c>
      <c r="H8" s="77">
        <f>F8*G72</f>
        <v>5.166666666666667</v>
      </c>
      <c r="I8" s="585"/>
      <c r="K8" s="577"/>
      <c r="L8" s="565"/>
      <c r="M8" s="71" t="s">
        <v>107</v>
      </c>
      <c r="N8" s="71" t="s">
        <v>120</v>
      </c>
      <c r="O8" s="71">
        <v>4</v>
      </c>
      <c r="P8" s="71" t="s">
        <v>119</v>
      </c>
      <c r="Q8" s="77">
        <f>O8*G$72</f>
        <v>5.166666666666667</v>
      </c>
      <c r="R8" s="571"/>
      <c r="S8" s="568"/>
    </row>
    <row r="9" spans="3:19" x14ac:dyDescent="0.2">
      <c r="C9" s="525"/>
      <c r="D9" s="11" t="s">
        <v>110</v>
      </c>
      <c r="E9" s="11"/>
      <c r="F9" s="11">
        <v>4</v>
      </c>
      <c r="G9" s="11" t="s">
        <v>92</v>
      </c>
      <c r="H9" s="79">
        <f>F9*G$73</f>
        <v>8.1875000000000003E-2</v>
      </c>
      <c r="I9" s="592"/>
      <c r="K9" s="577"/>
      <c r="L9" s="526"/>
      <c r="M9" s="11" t="s">
        <v>110</v>
      </c>
      <c r="N9" s="11"/>
      <c r="O9" s="155">
        <v>4</v>
      </c>
      <c r="P9" s="11" t="s">
        <v>121</v>
      </c>
      <c r="Q9" s="79">
        <f>O9*G$73</f>
        <v>8.1875000000000003E-2</v>
      </c>
      <c r="R9" s="572"/>
      <c r="S9" s="568"/>
    </row>
    <row r="10" spans="3:19" x14ac:dyDescent="0.2">
      <c r="C10" s="596">
        <v>2</v>
      </c>
      <c r="D10" s="100" t="s">
        <v>97</v>
      </c>
      <c r="E10" s="100" t="s">
        <v>129</v>
      </c>
      <c r="F10" s="100">
        <v>3</v>
      </c>
      <c r="G10" s="100" t="s">
        <v>91</v>
      </c>
      <c r="H10" s="78">
        <f>F10*G64</f>
        <v>9</v>
      </c>
      <c r="I10" s="591">
        <f>SUM(H10:H12)</f>
        <v>14.248541666666668</v>
      </c>
      <c r="K10" s="577"/>
      <c r="L10" s="564">
        <v>2</v>
      </c>
      <c r="M10" s="156" t="s">
        <v>117</v>
      </c>
      <c r="N10" s="156" t="s">
        <v>118</v>
      </c>
      <c r="O10" s="156">
        <v>3</v>
      </c>
      <c r="P10" s="100" t="s">
        <v>91</v>
      </c>
      <c r="Q10" s="78">
        <f>O10*G$61</f>
        <v>24.997499999999999</v>
      </c>
      <c r="R10" s="570">
        <f>SUM(Q10:Q12)</f>
        <v>30.246041666666667</v>
      </c>
      <c r="S10" s="568"/>
    </row>
    <row r="11" spans="3:19" x14ac:dyDescent="0.2">
      <c r="C11" s="577"/>
      <c r="D11" s="1" t="s">
        <v>107</v>
      </c>
      <c r="E11" s="71" t="s">
        <v>120</v>
      </c>
      <c r="F11" s="71">
        <v>4</v>
      </c>
      <c r="G11" s="71" t="s">
        <v>119</v>
      </c>
      <c r="H11" s="77">
        <f>F11*G72</f>
        <v>5.166666666666667</v>
      </c>
      <c r="I11" s="585"/>
      <c r="K11" s="577"/>
      <c r="L11" s="565"/>
      <c r="M11" s="71" t="s">
        <v>107</v>
      </c>
      <c r="N11" s="71" t="s">
        <v>120</v>
      </c>
      <c r="O11" s="71">
        <v>4</v>
      </c>
      <c r="P11" s="71" t="s">
        <v>119</v>
      </c>
      <c r="Q11" s="77">
        <f>O11*G$72</f>
        <v>5.166666666666667</v>
      </c>
      <c r="R11" s="571"/>
      <c r="S11" s="568"/>
    </row>
    <row r="12" spans="3:19" x14ac:dyDescent="0.2">
      <c r="C12" s="525"/>
      <c r="D12" s="11" t="s">
        <v>110</v>
      </c>
      <c r="E12" s="11"/>
      <c r="F12" s="11">
        <v>4</v>
      </c>
      <c r="G12" s="11" t="s">
        <v>92</v>
      </c>
      <c r="H12" s="79">
        <f>F12*G$73</f>
        <v>8.1875000000000003E-2</v>
      </c>
      <c r="I12" s="592"/>
      <c r="K12" s="577"/>
      <c r="L12" s="526"/>
      <c r="M12" s="11" t="s">
        <v>110</v>
      </c>
      <c r="N12" s="11"/>
      <c r="O12" s="155">
        <v>4</v>
      </c>
      <c r="P12" s="11" t="s">
        <v>121</v>
      </c>
      <c r="Q12" s="79">
        <f>O12*G$73</f>
        <v>8.1875000000000003E-2</v>
      </c>
      <c r="R12" s="572"/>
      <c r="S12" s="568"/>
    </row>
    <row r="13" spans="3:19" x14ac:dyDescent="0.2">
      <c r="C13" s="596">
        <v>3</v>
      </c>
      <c r="D13" s="100" t="s">
        <v>107</v>
      </c>
      <c r="E13" s="100" t="s">
        <v>120</v>
      </c>
      <c r="F13" s="100">
        <v>4</v>
      </c>
      <c r="G13" s="100" t="s">
        <v>91</v>
      </c>
      <c r="H13" s="78">
        <f>F13*G62</f>
        <v>5.166666666666667</v>
      </c>
      <c r="I13" s="591">
        <f>SUM(H13:H16)</f>
        <v>53.873541666666661</v>
      </c>
      <c r="K13" s="577"/>
      <c r="L13" s="565">
        <v>3</v>
      </c>
      <c r="M13" s="71" t="s">
        <v>117</v>
      </c>
      <c r="N13" s="71" t="s">
        <v>118</v>
      </c>
      <c r="O13" s="71">
        <v>3</v>
      </c>
      <c r="P13" s="1" t="s">
        <v>91</v>
      </c>
      <c r="Q13" s="77">
        <f>O13*G$61</f>
        <v>24.997499999999999</v>
      </c>
      <c r="R13" s="573">
        <f>SUM(Q13:Q15)</f>
        <v>30.246041666666667</v>
      </c>
      <c r="S13" s="568"/>
    </row>
    <row r="14" spans="3:19" x14ac:dyDescent="0.2">
      <c r="C14" s="577"/>
      <c r="D14" s="1" t="s">
        <v>111</v>
      </c>
      <c r="E14" s="1" t="s">
        <v>120</v>
      </c>
      <c r="F14" s="1">
        <v>3</v>
      </c>
      <c r="G14" s="1" t="s">
        <v>92</v>
      </c>
      <c r="H14" s="77">
        <f>F14*G66</f>
        <v>9.629999999999999</v>
      </c>
      <c r="I14" s="585"/>
      <c r="K14" s="577"/>
      <c r="L14" s="565"/>
      <c r="M14" s="71" t="s">
        <v>107</v>
      </c>
      <c r="N14" s="71" t="s">
        <v>120</v>
      </c>
      <c r="O14" s="71">
        <v>4</v>
      </c>
      <c r="P14" s="71" t="s">
        <v>119</v>
      </c>
      <c r="Q14" s="77">
        <f>O14*G$72</f>
        <v>5.166666666666667</v>
      </c>
      <c r="R14" s="571"/>
      <c r="S14" s="568"/>
    </row>
    <row r="15" spans="3:19" ht="17" thickBot="1" x14ac:dyDescent="0.25">
      <c r="C15" s="577"/>
      <c r="D15" s="1" t="s">
        <v>98</v>
      </c>
      <c r="E15" s="1" t="s">
        <v>130</v>
      </c>
      <c r="F15" s="1">
        <v>12</v>
      </c>
      <c r="G15" s="1" t="s">
        <v>92</v>
      </c>
      <c r="H15" s="77">
        <f>F15*G65</f>
        <v>38.994999999999997</v>
      </c>
      <c r="I15" s="585"/>
      <c r="K15" s="578"/>
      <c r="L15" s="566"/>
      <c r="M15" s="55" t="s">
        <v>110</v>
      </c>
      <c r="N15" s="55"/>
      <c r="O15" s="70">
        <v>4</v>
      </c>
      <c r="P15" s="55" t="s">
        <v>121</v>
      </c>
      <c r="Q15" s="80">
        <f>O15*G$73</f>
        <v>8.1875000000000003E-2</v>
      </c>
      <c r="R15" s="574"/>
      <c r="S15" s="569"/>
    </row>
    <row r="16" spans="3:19" x14ac:dyDescent="0.2">
      <c r="C16" s="525"/>
      <c r="D16" s="11" t="s">
        <v>110</v>
      </c>
      <c r="E16" s="11"/>
      <c r="F16" s="11">
        <v>4</v>
      </c>
      <c r="G16" s="11" t="s">
        <v>92</v>
      </c>
      <c r="H16" s="79">
        <f>F16*G$73</f>
        <v>8.1875000000000003E-2</v>
      </c>
      <c r="I16" s="592"/>
      <c r="K16" s="576">
        <v>2</v>
      </c>
      <c r="L16" s="575">
        <v>1</v>
      </c>
      <c r="M16" s="108" t="s">
        <v>117</v>
      </c>
      <c r="N16" s="108" t="s">
        <v>118</v>
      </c>
      <c r="O16" s="108">
        <v>3</v>
      </c>
      <c r="P16" s="102" t="s">
        <v>91</v>
      </c>
      <c r="Q16" s="103">
        <f>O16*G$61</f>
        <v>24.997499999999999</v>
      </c>
      <c r="R16" s="590">
        <f>SUM(Q16:Q18)</f>
        <v>30.246041666666667</v>
      </c>
      <c r="S16" s="567">
        <f>SUM(R16:R27)</f>
        <v>120.98416666666667</v>
      </c>
    </row>
    <row r="17" spans="3:19" x14ac:dyDescent="0.2">
      <c r="C17" s="596">
        <v>4</v>
      </c>
      <c r="D17" s="100" t="s">
        <v>107</v>
      </c>
      <c r="E17" s="100" t="s">
        <v>120</v>
      </c>
      <c r="F17" s="100">
        <v>4</v>
      </c>
      <c r="G17" s="100" t="s">
        <v>91</v>
      </c>
      <c r="H17" s="78">
        <f>F17*G62</f>
        <v>5.166666666666667</v>
      </c>
      <c r="I17" s="591">
        <f>SUM(H17:H20)</f>
        <v>54.106666666666669</v>
      </c>
      <c r="K17" s="577"/>
      <c r="L17" s="565"/>
      <c r="M17" s="71" t="s">
        <v>107</v>
      </c>
      <c r="N17" s="71" t="s">
        <v>120</v>
      </c>
      <c r="O17" s="71">
        <v>4</v>
      </c>
      <c r="P17" s="71" t="s">
        <v>119</v>
      </c>
      <c r="Q17" s="77">
        <f>O17*G$72</f>
        <v>5.166666666666667</v>
      </c>
      <c r="R17" s="571"/>
      <c r="S17" s="568"/>
    </row>
    <row r="18" spans="3:19" x14ac:dyDescent="0.2">
      <c r="C18" s="577"/>
      <c r="D18" s="1" t="s">
        <v>101</v>
      </c>
      <c r="E18" s="1" t="s">
        <v>123</v>
      </c>
      <c r="F18" s="1">
        <v>8</v>
      </c>
      <c r="G18" s="1" t="s">
        <v>92</v>
      </c>
      <c r="H18" s="77">
        <f>F18*G69</f>
        <v>20.698125000000001</v>
      </c>
      <c r="I18" s="585"/>
      <c r="K18" s="577"/>
      <c r="L18" s="526"/>
      <c r="M18" s="11" t="s">
        <v>110</v>
      </c>
      <c r="N18" s="11"/>
      <c r="O18" s="155">
        <v>4</v>
      </c>
      <c r="P18" s="11" t="s">
        <v>121</v>
      </c>
      <c r="Q18" s="79">
        <f>O18*G$73</f>
        <v>8.1875000000000003E-2</v>
      </c>
      <c r="R18" s="572"/>
      <c r="S18" s="568"/>
    </row>
    <row r="19" spans="3:19" x14ac:dyDescent="0.2">
      <c r="C19" s="577"/>
      <c r="D19" s="1" t="s">
        <v>93</v>
      </c>
      <c r="E19" s="1" t="s">
        <v>129</v>
      </c>
      <c r="F19" s="1">
        <v>0.8</v>
      </c>
      <c r="G19" s="1" t="s">
        <v>94</v>
      </c>
      <c r="H19" s="77">
        <f>F19*G59</f>
        <v>28.160000000000004</v>
      </c>
      <c r="I19" s="585"/>
      <c r="K19" s="577"/>
      <c r="L19" s="564">
        <v>2</v>
      </c>
      <c r="M19" s="156" t="s">
        <v>117</v>
      </c>
      <c r="N19" s="156" t="s">
        <v>118</v>
      </c>
      <c r="O19" s="156">
        <v>3</v>
      </c>
      <c r="P19" s="100" t="s">
        <v>91</v>
      </c>
      <c r="Q19" s="78">
        <f>O19*G$61</f>
        <v>24.997499999999999</v>
      </c>
      <c r="R19" s="570">
        <f>SUM(Q19:Q21)</f>
        <v>30.246041666666667</v>
      </c>
      <c r="S19" s="568"/>
    </row>
    <row r="20" spans="3:19" x14ac:dyDescent="0.2">
      <c r="C20" s="525"/>
      <c r="D20" s="11" t="s">
        <v>110</v>
      </c>
      <c r="E20" s="11"/>
      <c r="F20" s="11">
        <v>4</v>
      </c>
      <c r="G20" s="11" t="s">
        <v>92</v>
      </c>
      <c r="H20" s="79">
        <f>F20*G$73</f>
        <v>8.1875000000000003E-2</v>
      </c>
      <c r="I20" s="592"/>
      <c r="K20" s="577"/>
      <c r="L20" s="565"/>
      <c r="M20" s="71" t="s">
        <v>107</v>
      </c>
      <c r="N20" s="71" t="s">
        <v>120</v>
      </c>
      <c r="O20" s="71">
        <v>4</v>
      </c>
      <c r="P20" s="71" t="s">
        <v>119</v>
      </c>
      <c r="Q20" s="77">
        <f>O20*G$72</f>
        <v>5.166666666666667</v>
      </c>
      <c r="R20" s="571"/>
      <c r="S20" s="568"/>
    </row>
    <row r="21" spans="3:19" x14ac:dyDescent="0.2">
      <c r="C21" s="596">
        <v>5</v>
      </c>
      <c r="D21" s="100" t="s">
        <v>98</v>
      </c>
      <c r="E21" s="100" t="s">
        <v>131</v>
      </c>
      <c r="F21" s="100">
        <v>8</v>
      </c>
      <c r="G21" s="100" t="s">
        <v>92</v>
      </c>
      <c r="H21" s="78">
        <f>F21*G65</f>
        <v>25.996666666666666</v>
      </c>
      <c r="I21" s="591">
        <f>SUM(H21:H22)</f>
        <v>26.078541666666666</v>
      </c>
      <c r="K21" s="577"/>
      <c r="L21" s="526"/>
      <c r="M21" s="11" t="s">
        <v>110</v>
      </c>
      <c r="N21" s="11"/>
      <c r="O21" s="155">
        <v>4</v>
      </c>
      <c r="P21" s="11" t="s">
        <v>121</v>
      </c>
      <c r="Q21" s="79">
        <f>O21*G$73</f>
        <v>8.1875000000000003E-2</v>
      </c>
      <c r="R21" s="572"/>
      <c r="S21" s="568"/>
    </row>
    <row r="22" spans="3:19" x14ac:dyDescent="0.2">
      <c r="C22" s="525"/>
      <c r="D22" s="11" t="s">
        <v>110</v>
      </c>
      <c r="E22" s="11"/>
      <c r="F22" s="11">
        <v>4</v>
      </c>
      <c r="G22" s="11" t="s">
        <v>92</v>
      </c>
      <c r="H22" s="79">
        <f>F22*G$73</f>
        <v>8.1875000000000003E-2</v>
      </c>
      <c r="I22" s="592"/>
      <c r="K22" s="577"/>
      <c r="L22" s="564">
        <v>3</v>
      </c>
      <c r="M22" s="156" t="s">
        <v>117</v>
      </c>
      <c r="N22" s="156" t="s">
        <v>118</v>
      </c>
      <c r="O22" s="156">
        <v>3</v>
      </c>
      <c r="P22" s="100" t="s">
        <v>91</v>
      </c>
      <c r="Q22" s="78">
        <f>O22*G$61</f>
        <v>24.997499999999999</v>
      </c>
      <c r="R22" s="570">
        <f>SUM(Q22:Q24)</f>
        <v>30.246041666666667</v>
      </c>
      <c r="S22" s="568"/>
    </row>
    <row r="23" spans="3:19" x14ac:dyDescent="0.2">
      <c r="C23" s="596">
        <v>6</v>
      </c>
      <c r="D23" s="100" t="s">
        <v>90</v>
      </c>
      <c r="E23" s="100" t="s">
        <v>132</v>
      </c>
      <c r="F23" s="100">
        <v>5</v>
      </c>
      <c r="G23" s="100" t="s">
        <v>92</v>
      </c>
      <c r="H23" s="78">
        <f>F23*G57</f>
        <v>19.6875</v>
      </c>
      <c r="I23" s="591">
        <f>SUM(H23:H26)</f>
        <v>33.936041666666661</v>
      </c>
      <c r="K23" s="577"/>
      <c r="L23" s="565"/>
      <c r="M23" s="71" t="s">
        <v>107</v>
      </c>
      <c r="N23" s="71" t="s">
        <v>120</v>
      </c>
      <c r="O23" s="71">
        <v>4</v>
      </c>
      <c r="P23" s="71" t="s">
        <v>119</v>
      </c>
      <c r="Q23" s="77">
        <f>O23*G$72</f>
        <v>5.166666666666667</v>
      </c>
      <c r="R23" s="571"/>
      <c r="S23" s="568"/>
    </row>
    <row r="24" spans="3:19" x14ac:dyDescent="0.2">
      <c r="C24" s="577"/>
      <c r="D24" s="1" t="s">
        <v>97</v>
      </c>
      <c r="E24" s="1" t="s">
        <v>129</v>
      </c>
      <c r="F24" s="1">
        <v>3</v>
      </c>
      <c r="G24" s="1" t="s">
        <v>91</v>
      </c>
      <c r="H24" s="77">
        <f>F24*G64</f>
        <v>9</v>
      </c>
      <c r="I24" s="585"/>
      <c r="K24" s="577"/>
      <c r="L24" s="526"/>
      <c r="M24" s="11" t="s">
        <v>110</v>
      </c>
      <c r="N24" s="11"/>
      <c r="O24" s="155">
        <v>4</v>
      </c>
      <c r="P24" s="11" t="s">
        <v>121</v>
      </c>
      <c r="Q24" s="79">
        <f>O24*G$73</f>
        <v>8.1875000000000003E-2</v>
      </c>
      <c r="R24" s="572"/>
      <c r="S24" s="568"/>
    </row>
    <row r="25" spans="3:19" x14ac:dyDescent="0.2">
      <c r="C25" s="577"/>
      <c r="D25" s="1" t="s">
        <v>107</v>
      </c>
      <c r="E25" s="1" t="s">
        <v>120</v>
      </c>
      <c r="F25" s="1">
        <v>4</v>
      </c>
      <c r="G25" s="1" t="s">
        <v>91</v>
      </c>
      <c r="H25" s="77">
        <f>F25*G62</f>
        <v>5.166666666666667</v>
      </c>
      <c r="I25" s="585"/>
      <c r="K25" s="577"/>
      <c r="L25" s="565">
        <v>4</v>
      </c>
      <c r="M25" s="71" t="s">
        <v>117</v>
      </c>
      <c r="N25" s="71" t="s">
        <v>118</v>
      </c>
      <c r="O25" s="71">
        <v>3</v>
      </c>
      <c r="P25" s="1" t="s">
        <v>91</v>
      </c>
      <c r="Q25" s="77">
        <f>O25*G$61</f>
        <v>24.997499999999999</v>
      </c>
      <c r="R25" s="573">
        <f>SUM(Q25:Q27)</f>
        <v>30.246041666666667</v>
      </c>
      <c r="S25" s="568"/>
    </row>
    <row r="26" spans="3:19" x14ac:dyDescent="0.2">
      <c r="C26" s="525"/>
      <c r="D26" s="11" t="s">
        <v>110</v>
      </c>
      <c r="E26" s="11"/>
      <c r="F26" s="11">
        <v>4</v>
      </c>
      <c r="G26" s="11" t="s">
        <v>92</v>
      </c>
      <c r="H26" s="79">
        <f>F26*G$73</f>
        <v>8.1875000000000003E-2</v>
      </c>
      <c r="I26" s="592"/>
      <c r="K26" s="577"/>
      <c r="L26" s="565"/>
      <c r="M26" s="71" t="s">
        <v>107</v>
      </c>
      <c r="N26" s="71" t="s">
        <v>120</v>
      </c>
      <c r="O26" s="71">
        <v>4</v>
      </c>
      <c r="P26" s="71" t="s">
        <v>119</v>
      </c>
      <c r="Q26" s="77">
        <f>O26*G$72</f>
        <v>5.166666666666667</v>
      </c>
      <c r="R26" s="571"/>
      <c r="S26" s="568"/>
    </row>
    <row r="27" spans="3:19" ht="17" thickBot="1" x14ac:dyDescent="0.25">
      <c r="C27" s="596">
        <v>7</v>
      </c>
      <c r="D27" s="100" t="s">
        <v>107</v>
      </c>
      <c r="E27" s="100" t="s">
        <v>120</v>
      </c>
      <c r="F27" s="100">
        <v>4</v>
      </c>
      <c r="G27" s="100" t="s">
        <v>91</v>
      </c>
      <c r="H27" s="78">
        <f>F27*G62</f>
        <v>5.166666666666667</v>
      </c>
      <c r="I27" s="591">
        <f>SUM(H27:H31)</f>
        <v>49.413541666666667</v>
      </c>
      <c r="K27" s="578"/>
      <c r="L27" s="566"/>
      <c r="M27" s="55" t="s">
        <v>110</v>
      </c>
      <c r="N27" s="55"/>
      <c r="O27" s="70">
        <v>4</v>
      </c>
      <c r="P27" s="55" t="s">
        <v>121</v>
      </c>
      <c r="Q27" s="80">
        <f>O27*G$73</f>
        <v>8.1875000000000003E-2</v>
      </c>
      <c r="R27" s="574"/>
      <c r="S27" s="569"/>
    </row>
    <row r="28" spans="3:19" x14ac:dyDescent="0.2">
      <c r="C28" s="577"/>
      <c r="D28" s="1" t="s">
        <v>111</v>
      </c>
      <c r="E28" s="1" t="s">
        <v>120</v>
      </c>
      <c r="F28" s="1">
        <v>3</v>
      </c>
      <c r="G28" s="1" t="s">
        <v>92</v>
      </c>
      <c r="H28" s="77">
        <f>F28*G66</f>
        <v>9.629999999999999</v>
      </c>
      <c r="I28" s="585"/>
      <c r="K28" s="576">
        <v>3</v>
      </c>
      <c r="L28" s="575">
        <v>1</v>
      </c>
      <c r="M28" s="108" t="s">
        <v>117</v>
      </c>
      <c r="N28" s="108" t="s">
        <v>118</v>
      </c>
      <c r="O28" s="108">
        <v>3</v>
      </c>
      <c r="P28" s="102" t="s">
        <v>91</v>
      </c>
      <c r="Q28" s="103">
        <f>O28*G$61</f>
        <v>24.997499999999999</v>
      </c>
      <c r="R28" s="590">
        <f>SUM(Q28:Q30)</f>
        <v>30.246041666666667</v>
      </c>
      <c r="S28" s="584">
        <f>SUM(R28:R48)</f>
        <v>174.77151041666667</v>
      </c>
    </row>
    <row r="29" spans="3:19" x14ac:dyDescent="0.2">
      <c r="C29" s="577"/>
      <c r="D29" s="1" t="s">
        <v>93</v>
      </c>
      <c r="E29" s="1" t="s">
        <v>129</v>
      </c>
      <c r="F29" s="1">
        <v>0.8</v>
      </c>
      <c r="G29" s="1" t="s">
        <v>94</v>
      </c>
      <c r="H29" s="77">
        <f>F29*G59</f>
        <v>28.160000000000004</v>
      </c>
      <c r="I29" s="585"/>
      <c r="K29" s="577"/>
      <c r="L29" s="565"/>
      <c r="M29" s="71" t="s">
        <v>107</v>
      </c>
      <c r="N29" s="71" t="s">
        <v>120</v>
      </c>
      <c r="O29" s="71">
        <v>4</v>
      </c>
      <c r="P29" s="71" t="s">
        <v>119</v>
      </c>
      <c r="Q29" s="77">
        <f>O29*G$72</f>
        <v>5.166666666666667</v>
      </c>
      <c r="R29" s="571"/>
      <c r="S29" s="585"/>
    </row>
    <row r="30" spans="3:19" x14ac:dyDescent="0.2">
      <c r="C30" s="577"/>
      <c r="D30" s="1" t="s">
        <v>99</v>
      </c>
      <c r="E30" s="1" t="s">
        <v>123</v>
      </c>
      <c r="F30" s="1">
        <v>48</v>
      </c>
      <c r="G30" s="1" t="s">
        <v>92</v>
      </c>
      <c r="H30" s="77">
        <f>F30*G67</f>
        <v>6.375</v>
      </c>
      <c r="I30" s="585"/>
      <c r="K30" s="577"/>
      <c r="L30" s="526"/>
      <c r="M30" s="11" t="s">
        <v>110</v>
      </c>
      <c r="N30" s="11"/>
      <c r="O30" s="155">
        <v>4</v>
      </c>
      <c r="P30" s="11" t="s">
        <v>121</v>
      </c>
      <c r="Q30" s="79">
        <f>O30*G$73</f>
        <v>8.1875000000000003E-2</v>
      </c>
      <c r="R30" s="572"/>
      <c r="S30" s="585"/>
    </row>
    <row r="31" spans="3:19" x14ac:dyDescent="0.2">
      <c r="C31" s="525"/>
      <c r="D31" s="11" t="s">
        <v>110</v>
      </c>
      <c r="E31" s="11"/>
      <c r="F31" s="11">
        <v>4</v>
      </c>
      <c r="G31" s="11" t="s">
        <v>92</v>
      </c>
      <c r="H31" s="79">
        <f>F31*G$73</f>
        <v>8.1875000000000003E-2</v>
      </c>
      <c r="I31" s="592"/>
      <c r="K31" s="577"/>
      <c r="L31" s="564">
        <v>2</v>
      </c>
      <c r="M31" s="156" t="s">
        <v>117</v>
      </c>
      <c r="N31" s="156" t="s">
        <v>118</v>
      </c>
      <c r="O31" s="156">
        <v>3</v>
      </c>
      <c r="P31" s="100" t="s">
        <v>91</v>
      </c>
      <c r="Q31" s="78">
        <f>O31*G$61</f>
        <v>24.997499999999999</v>
      </c>
      <c r="R31" s="570">
        <f>SUM(Q31:Q33)</f>
        <v>30.246041666666667</v>
      </c>
      <c r="S31" s="585"/>
    </row>
    <row r="32" spans="3:19" x14ac:dyDescent="0.2">
      <c r="C32" s="596">
        <v>8</v>
      </c>
      <c r="D32" s="100" t="s">
        <v>103</v>
      </c>
      <c r="E32" s="100" t="s">
        <v>120</v>
      </c>
      <c r="F32" s="100">
        <v>15</v>
      </c>
      <c r="G32" s="100" t="s">
        <v>92</v>
      </c>
      <c r="H32" s="78">
        <f>F32*G75</f>
        <v>26.71875</v>
      </c>
      <c r="I32" s="591">
        <f>SUM(H32:H36)</f>
        <v>94.275703125000007</v>
      </c>
      <c r="K32" s="577"/>
      <c r="L32" s="565"/>
      <c r="M32" s="71" t="s">
        <v>107</v>
      </c>
      <c r="N32" s="71" t="s">
        <v>120</v>
      </c>
      <c r="O32" s="71">
        <v>4</v>
      </c>
      <c r="P32" s="71" t="s">
        <v>119</v>
      </c>
      <c r="Q32" s="77">
        <f>O32*G$72</f>
        <v>5.166666666666667</v>
      </c>
      <c r="R32" s="571"/>
      <c r="S32" s="585"/>
    </row>
    <row r="33" spans="3:19" x14ac:dyDescent="0.2">
      <c r="C33" s="577"/>
      <c r="D33" s="1" t="s">
        <v>93</v>
      </c>
      <c r="E33" s="1" t="s">
        <v>129</v>
      </c>
      <c r="F33" s="1">
        <v>0.4</v>
      </c>
      <c r="G33" s="1" t="s">
        <v>94</v>
      </c>
      <c r="H33" s="77">
        <f>F33*G59</f>
        <v>14.080000000000002</v>
      </c>
      <c r="I33" s="585"/>
      <c r="K33" s="577"/>
      <c r="L33" s="526"/>
      <c r="M33" s="11" t="s">
        <v>110</v>
      </c>
      <c r="N33" s="11"/>
      <c r="O33" s="155">
        <v>4</v>
      </c>
      <c r="P33" s="11" t="s">
        <v>121</v>
      </c>
      <c r="Q33" s="79">
        <f>O33*G$73</f>
        <v>8.1875000000000003E-2</v>
      </c>
      <c r="R33" s="572"/>
      <c r="S33" s="585"/>
    </row>
    <row r="34" spans="3:19" x14ac:dyDescent="0.2">
      <c r="C34" s="577"/>
      <c r="D34" s="1" t="s">
        <v>112</v>
      </c>
      <c r="E34" s="1" t="s">
        <v>133</v>
      </c>
      <c r="F34" s="1">
        <v>2.5</v>
      </c>
      <c r="G34" s="1" t="s">
        <v>92</v>
      </c>
      <c r="H34" s="77">
        <f>F34*G68</f>
        <v>19.155078124999999</v>
      </c>
      <c r="I34" s="585"/>
      <c r="K34" s="577"/>
      <c r="L34" s="564">
        <v>3</v>
      </c>
      <c r="M34" s="156" t="s">
        <v>122</v>
      </c>
      <c r="N34" s="156" t="s">
        <v>123</v>
      </c>
      <c r="O34" s="156">
        <v>7</v>
      </c>
      <c r="P34" s="156" t="s">
        <v>121</v>
      </c>
      <c r="Q34" s="78">
        <f>O34*G$69</f>
        <v>18.110859375</v>
      </c>
      <c r="R34" s="570">
        <f>SUM(Q34:Q36)</f>
        <v>23.359401041666668</v>
      </c>
      <c r="S34" s="585"/>
    </row>
    <row r="35" spans="3:19" x14ac:dyDescent="0.2">
      <c r="C35" s="577"/>
      <c r="D35" s="1" t="s">
        <v>95</v>
      </c>
      <c r="E35" s="1" t="s">
        <v>134</v>
      </c>
      <c r="F35" s="1">
        <v>1</v>
      </c>
      <c r="G35" s="1" t="s">
        <v>91</v>
      </c>
      <c r="H35" s="77">
        <f>F35*G60</f>
        <v>34.24</v>
      </c>
      <c r="I35" s="585"/>
      <c r="K35" s="577"/>
      <c r="L35" s="565"/>
      <c r="M35" s="71" t="s">
        <v>107</v>
      </c>
      <c r="N35" s="71" t="s">
        <v>120</v>
      </c>
      <c r="O35" s="71">
        <v>4</v>
      </c>
      <c r="P35" s="71" t="s">
        <v>119</v>
      </c>
      <c r="Q35" s="77">
        <f>O35*G$72</f>
        <v>5.166666666666667</v>
      </c>
      <c r="R35" s="571"/>
      <c r="S35" s="585"/>
    </row>
    <row r="36" spans="3:19" x14ac:dyDescent="0.2">
      <c r="C36" s="525"/>
      <c r="D36" s="11" t="s">
        <v>110</v>
      </c>
      <c r="E36" s="11"/>
      <c r="F36" s="11">
        <v>4</v>
      </c>
      <c r="G36" s="11" t="s">
        <v>92</v>
      </c>
      <c r="H36" s="79">
        <f>F36*G$73</f>
        <v>8.1875000000000003E-2</v>
      </c>
      <c r="I36" s="592"/>
      <c r="K36" s="577"/>
      <c r="L36" s="526"/>
      <c r="M36" s="11" t="s">
        <v>110</v>
      </c>
      <c r="N36" s="11"/>
      <c r="O36" s="155">
        <v>4</v>
      </c>
      <c r="P36" s="155" t="s">
        <v>121</v>
      </c>
      <c r="Q36" s="79">
        <f>O36*G$73</f>
        <v>8.1875000000000003E-2</v>
      </c>
      <c r="R36" s="572"/>
      <c r="S36" s="585"/>
    </row>
    <row r="37" spans="3:19" x14ac:dyDescent="0.2">
      <c r="C37" s="596">
        <v>9</v>
      </c>
      <c r="D37" s="100" t="s">
        <v>102</v>
      </c>
      <c r="E37" s="100" t="s">
        <v>134</v>
      </c>
      <c r="F37" s="100">
        <v>8</v>
      </c>
      <c r="G37" s="100" t="s">
        <v>92</v>
      </c>
      <c r="H37" s="78">
        <f>F37*G74</f>
        <v>27.2</v>
      </c>
      <c r="I37" s="591">
        <f>SUM(H37:H40)</f>
        <v>59.27987499999999</v>
      </c>
      <c r="K37" s="577"/>
      <c r="L37" s="564">
        <v>4</v>
      </c>
      <c r="M37" s="156" t="s">
        <v>122</v>
      </c>
      <c r="N37" s="156" t="s">
        <v>123</v>
      </c>
      <c r="O37" s="156">
        <v>7</v>
      </c>
      <c r="P37" s="156" t="s">
        <v>121</v>
      </c>
      <c r="Q37" s="78">
        <f>O37*G$69</f>
        <v>18.110859375</v>
      </c>
      <c r="R37" s="587">
        <f>SUM(Q37:Q39)</f>
        <v>23.359401041666668</v>
      </c>
      <c r="S37" s="585"/>
    </row>
    <row r="38" spans="3:19" x14ac:dyDescent="0.2">
      <c r="C38" s="577"/>
      <c r="D38" s="1" t="s">
        <v>105</v>
      </c>
      <c r="E38" s="1" t="s">
        <v>135</v>
      </c>
      <c r="F38" s="1">
        <v>2</v>
      </c>
      <c r="G38" s="1" t="s">
        <v>136</v>
      </c>
      <c r="H38" s="77">
        <f>(F38/4)*G71</f>
        <v>30.4</v>
      </c>
      <c r="I38" s="585"/>
      <c r="K38" s="577"/>
      <c r="L38" s="565"/>
      <c r="M38" s="71" t="s">
        <v>107</v>
      </c>
      <c r="N38" s="71" t="s">
        <v>120</v>
      </c>
      <c r="O38" s="71">
        <v>4</v>
      </c>
      <c r="P38" s="71" t="s">
        <v>119</v>
      </c>
      <c r="Q38" s="77">
        <f>O38*G$72</f>
        <v>5.166666666666667</v>
      </c>
      <c r="R38" s="588"/>
      <c r="S38" s="585"/>
    </row>
    <row r="39" spans="3:19" x14ac:dyDescent="0.2">
      <c r="C39" s="577"/>
      <c r="D39" s="1" t="s">
        <v>137</v>
      </c>
      <c r="E39" s="71" t="s">
        <v>124</v>
      </c>
      <c r="F39" s="1">
        <v>4</v>
      </c>
      <c r="G39" s="1" t="s">
        <v>92</v>
      </c>
      <c r="H39" s="77">
        <f>F39*G58</f>
        <v>1.5980000000000001</v>
      </c>
      <c r="I39" s="585"/>
      <c r="K39" s="577"/>
      <c r="L39" s="526"/>
      <c r="M39" s="11" t="s">
        <v>110</v>
      </c>
      <c r="N39" s="11"/>
      <c r="O39" s="155">
        <v>4</v>
      </c>
      <c r="P39" s="155" t="s">
        <v>121</v>
      </c>
      <c r="Q39" s="79">
        <f>O39*G$73</f>
        <v>8.1875000000000003E-2</v>
      </c>
      <c r="R39" s="589"/>
      <c r="S39" s="585"/>
    </row>
    <row r="40" spans="3:19" x14ac:dyDescent="0.2">
      <c r="C40" s="525"/>
      <c r="D40" s="11" t="s">
        <v>110</v>
      </c>
      <c r="E40" s="11"/>
      <c r="F40" s="11">
        <v>4</v>
      </c>
      <c r="G40" s="11" t="s">
        <v>92</v>
      </c>
      <c r="H40" s="79">
        <f>F40*G$73</f>
        <v>8.1875000000000003E-2</v>
      </c>
      <c r="I40" s="592"/>
      <c r="K40" s="577"/>
      <c r="L40" s="564">
        <v>5</v>
      </c>
      <c r="M40" s="156" t="s">
        <v>109</v>
      </c>
      <c r="N40" s="156" t="s">
        <v>124</v>
      </c>
      <c r="O40" s="156">
        <v>2.5</v>
      </c>
      <c r="P40" s="156" t="s">
        <v>119</v>
      </c>
      <c r="Q40" s="78">
        <f>O40*G$58*16</f>
        <v>15.98</v>
      </c>
      <c r="R40" s="570">
        <f>SUM(Q40:Q42)</f>
        <v>22.520208333333333</v>
      </c>
      <c r="S40" s="585"/>
    </row>
    <row r="41" spans="3:19" x14ac:dyDescent="0.2">
      <c r="C41" s="596">
        <v>10</v>
      </c>
      <c r="D41" s="100" t="s">
        <v>106</v>
      </c>
      <c r="E41" s="100" t="s">
        <v>134</v>
      </c>
      <c r="F41" s="100">
        <v>2</v>
      </c>
      <c r="G41" s="100" t="s">
        <v>138</v>
      </c>
      <c r="H41" s="78">
        <f>(G70/8)*2</f>
        <v>29.468</v>
      </c>
      <c r="I41" s="591">
        <f>SUM(H41:H44)</f>
        <v>45.341541666666664</v>
      </c>
      <c r="K41" s="577"/>
      <c r="L41" s="565"/>
      <c r="M41" s="71" t="s">
        <v>107</v>
      </c>
      <c r="N41" s="71" t="s">
        <v>120</v>
      </c>
      <c r="O41" s="71">
        <v>5</v>
      </c>
      <c r="P41" s="71" t="s">
        <v>119</v>
      </c>
      <c r="Q41" s="77">
        <f>O41*G$72</f>
        <v>6.4583333333333339</v>
      </c>
      <c r="R41" s="571"/>
      <c r="S41" s="585"/>
    </row>
    <row r="42" spans="3:19" x14ac:dyDescent="0.2">
      <c r="C42" s="577"/>
      <c r="D42" s="1" t="s">
        <v>107</v>
      </c>
      <c r="E42" s="71" t="s">
        <v>120</v>
      </c>
      <c r="F42" s="71">
        <v>4</v>
      </c>
      <c r="G42" s="71" t="s">
        <v>119</v>
      </c>
      <c r="H42" s="77">
        <f>F42*G72</f>
        <v>5.166666666666667</v>
      </c>
      <c r="I42" s="585"/>
      <c r="K42" s="577"/>
      <c r="L42" s="526"/>
      <c r="M42" s="11" t="s">
        <v>110</v>
      </c>
      <c r="N42" s="11"/>
      <c r="O42" s="155">
        <v>4</v>
      </c>
      <c r="P42" s="155" t="s">
        <v>121</v>
      </c>
      <c r="Q42" s="79">
        <f>O42*G$73</f>
        <v>8.1875000000000003E-2</v>
      </c>
      <c r="R42" s="572"/>
      <c r="S42" s="585"/>
    </row>
    <row r="43" spans="3:19" x14ac:dyDescent="0.2">
      <c r="C43" s="577"/>
      <c r="D43" s="1" t="s">
        <v>99</v>
      </c>
      <c r="E43" s="1" t="s">
        <v>133</v>
      </c>
      <c r="F43" s="1">
        <v>2.5</v>
      </c>
      <c r="G43" s="1" t="s">
        <v>136</v>
      </c>
      <c r="H43" s="77">
        <f>(G67*32)*2.5</f>
        <v>10.625</v>
      </c>
      <c r="I43" s="585"/>
      <c r="K43" s="577"/>
      <c r="L43" s="564">
        <v>6</v>
      </c>
      <c r="M43" s="156" t="s">
        <v>109</v>
      </c>
      <c r="N43" s="156" t="s">
        <v>124</v>
      </c>
      <c r="O43" s="156">
        <v>2.5</v>
      </c>
      <c r="P43" s="156" t="s">
        <v>119</v>
      </c>
      <c r="Q43" s="78">
        <f>O43*G$58*16</f>
        <v>15.98</v>
      </c>
      <c r="R43" s="570">
        <f>SUM(Q43:Q45)</f>
        <v>22.520208333333333</v>
      </c>
      <c r="S43" s="585"/>
    </row>
    <row r="44" spans="3:19" x14ac:dyDescent="0.2">
      <c r="C44" s="525"/>
      <c r="D44" s="11" t="s">
        <v>110</v>
      </c>
      <c r="E44" s="11"/>
      <c r="F44" s="11">
        <v>4</v>
      </c>
      <c r="G44" s="11" t="s">
        <v>92</v>
      </c>
      <c r="H44" s="79">
        <f>F44*G$73</f>
        <v>8.1875000000000003E-2</v>
      </c>
      <c r="I44" s="592"/>
      <c r="K44" s="577"/>
      <c r="L44" s="565"/>
      <c r="M44" s="71" t="s">
        <v>107</v>
      </c>
      <c r="N44" s="71" t="s">
        <v>120</v>
      </c>
      <c r="O44" s="71">
        <v>5</v>
      </c>
      <c r="P44" s="71" t="s">
        <v>119</v>
      </c>
      <c r="Q44" s="77">
        <f>O44*G$72</f>
        <v>6.4583333333333339</v>
      </c>
      <c r="R44" s="571"/>
      <c r="S44" s="585"/>
    </row>
    <row r="45" spans="3:19" x14ac:dyDescent="0.2">
      <c r="C45" s="577">
        <v>11</v>
      </c>
      <c r="D45" s="1" t="s">
        <v>137</v>
      </c>
      <c r="E45" s="71" t="s">
        <v>124</v>
      </c>
      <c r="F45" s="1">
        <v>4</v>
      </c>
      <c r="G45" s="1" t="s">
        <v>92</v>
      </c>
      <c r="H45" s="77">
        <f>F45*G58</f>
        <v>1.5980000000000001</v>
      </c>
      <c r="I45" s="585">
        <f>SUM(H45:H49)</f>
        <v>63.15786979166667</v>
      </c>
      <c r="K45" s="577"/>
      <c r="L45" s="526"/>
      <c r="M45" s="11" t="s">
        <v>110</v>
      </c>
      <c r="N45" s="11"/>
      <c r="O45" s="155">
        <v>4</v>
      </c>
      <c r="P45" s="155" t="s">
        <v>121</v>
      </c>
      <c r="Q45" s="79">
        <f>O45*G$73</f>
        <v>8.1875000000000003E-2</v>
      </c>
      <c r="R45" s="572"/>
      <c r="S45" s="585"/>
    </row>
    <row r="46" spans="3:19" x14ac:dyDescent="0.2">
      <c r="C46" s="577"/>
      <c r="D46" s="1" t="s">
        <v>113</v>
      </c>
      <c r="E46" s="1" t="s">
        <v>139</v>
      </c>
      <c r="F46" s="1">
        <v>3</v>
      </c>
      <c r="G46" s="1" t="s">
        <v>92</v>
      </c>
      <c r="H46" s="77">
        <f>F46*G63</f>
        <v>8.1813281250000003</v>
      </c>
      <c r="I46" s="585"/>
      <c r="K46" s="577"/>
      <c r="L46" s="565">
        <v>7</v>
      </c>
      <c r="M46" s="71" t="s">
        <v>109</v>
      </c>
      <c r="N46" s="71" t="s">
        <v>124</v>
      </c>
      <c r="O46" s="71">
        <v>2.5</v>
      </c>
      <c r="P46" s="71" t="s">
        <v>119</v>
      </c>
      <c r="Q46" s="77">
        <f>O46*G$58*16</f>
        <v>15.98</v>
      </c>
      <c r="R46" s="573">
        <f>SUM(Q46:Q48)</f>
        <v>22.520208333333333</v>
      </c>
      <c r="S46" s="585"/>
    </row>
    <row r="47" spans="3:19" x14ac:dyDescent="0.2">
      <c r="C47" s="577"/>
      <c r="D47" s="1" t="s">
        <v>98</v>
      </c>
      <c r="E47" s="1" t="s">
        <v>130</v>
      </c>
      <c r="F47" s="1">
        <v>8</v>
      </c>
      <c r="G47" s="1" t="s">
        <v>92</v>
      </c>
      <c r="H47" s="77">
        <f>F47*G65</f>
        <v>25.996666666666666</v>
      </c>
      <c r="I47" s="585"/>
      <c r="K47" s="577"/>
      <c r="L47" s="565"/>
      <c r="M47" s="71" t="s">
        <v>107</v>
      </c>
      <c r="N47" s="71" t="s">
        <v>120</v>
      </c>
      <c r="O47" s="71">
        <v>5</v>
      </c>
      <c r="P47" s="71" t="s">
        <v>119</v>
      </c>
      <c r="Q47" s="77">
        <f>O47*G$72</f>
        <v>6.4583333333333339</v>
      </c>
      <c r="R47" s="571"/>
      <c r="S47" s="585"/>
    </row>
    <row r="48" spans="3:19" ht="17" thickBot="1" x14ac:dyDescent="0.25">
      <c r="C48" s="577"/>
      <c r="D48" s="1" t="s">
        <v>104</v>
      </c>
      <c r="E48" s="1" t="s">
        <v>140</v>
      </c>
      <c r="F48" s="1">
        <v>10</v>
      </c>
      <c r="G48" s="1" t="s">
        <v>92</v>
      </c>
      <c r="H48" s="77">
        <f>F48*G76</f>
        <v>27.3</v>
      </c>
      <c r="I48" s="585"/>
      <c r="K48" s="578"/>
      <c r="L48" s="566"/>
      <c r="M48" s="55" t="s">
        <v>110</v>
      </c>
      <c r="N48" s="55"/>
      <c r="O48" s="70">
        <v>4</v>
      </c>
      <c r="P48" s="70" t="s">
        <v>121</v>
      </c>
      <c r="Q48" s="80">
        <f>O48*G$73</f>
        <v>8.1875000000000003E-2</v>
      </c>
      <c r="R48" s="574"/>
      <c r="S48" s="586"/>
    </row>
    <row r="49" spans="3:9" ht="17" thickBot="1" x14ac:dyDescent="0.25">
      <c r="C49" s="578"/>
      <c r="D49" s="55" t="s">
        <v>110</v>
      </c>
      <c r="E49" s="55"/>
      <c r="F49" s="55">
        <v>4</v>
      </c>
      <c r="G49" s="55" t="s">
        <v>92</v>
      </c>
      <c r="H49" s="80">
        <f>F49*G$73</f>
        <v>8.1875000000000003E-2</v>
      </c>
      <c r="I49" s="586"/>
    </row>
    <row r="50" spans="3:9" ht="17" thickBot="1" x14ac:dyDescent="0.25">
      <c r="H50" s="157" t="s">
        <v>141</v>
      </c>
      <c r="I50" s="93">
        <f>SUM(I7:I49)</f>
        <v>507.96040625000001</v>
      </c>
    </row>
    <row r="55" spans="3:9" x14ac:dyDescent="0.2">
      <c r="C55" s="593" t="s">
        <v>114</v>
      </c>
      <c r="D55" s="594"/>
      <c r="E55" s="594"/>
      <c r="F55" s="594"/>
      <c r="G55" s="594"/>
      <c r="H55" s="595"/>
    </row>
    <row r="56" spans="3:9" x14ac:dyDescent="0.2">
      <c r="C56" s="81" t="s">
        <v>85</v>
      </c>
      <c r="D56" s="82" t="s">
        <v>86</v>
      </c>
      <c r="E56" s="82" t="s">
        <v>87</v>
      </c>
      <c r="F56" s="82" t="s">
        <v>88</v>
      </c>
      <c r="G56" s="82" t="s">
        <v>89</v>
      </c>
      <c r="H56" s="82" t="s">
        <v>88</v>
      </c>
    </row>
    <row r="57" spans="3:9" x14ac:dyDescent="0.2">
      <c r="C57" s="83" t="s">
        <v>90</v>
      </c>
      <c r="D57" s="84">
        <v>252</v>
      </c>
      <c r="E57" s="85">
        <v>4</v>
      </c>
      <c r="F57" s="85" t="s">
        <v>91</v>
      </c>
      <c r="G57" s="86">
        <f>(D57/E57)/16</f>
        <v>3.9375</v>
      </c>
      <c r="H57" s="87" t="s">
        <v>92</v>
      </c>
    </row>
    <row r="58" spans="3:9" x14ac:dyDescent="0.2">
      <c r="C58" s="83" t="s">
        <v>109</v>
      </c>
      <c r="D58" s="84">
        <v>39.950000000000003</v>
      </c>
      <c r="E58" s="85">
        <v>6.25</v>
      </c>
      <c r="F58" s="85" t="s">
        <v>91</v>
      </c>
      <c r="G58" s="86">
        <f>(D58/E58)/16</f>
        <v>0.39950000000000002</v>
      </c>
      <c r="H58" s="87" t="s">
        <v>92</v>
      </c>
    </row>
    <row r="59" spans="3:9" x14ac:dyDescent="0.2">
      <c r="C59" s="83" t="s">
        <v>93</v>
      </c>
      <c r="D59" s="84">
        <v>88</v>
      </c>
      <c r="E59" s="85">
        <v>2.5</v>
      </c>
      <c r="F59" s="85" t="s">
        <v>94</v>
      </c>
      <c r="G59" s="86">
        <f>D59/E59</f>
        <v>35.200000000000003</v>
      </c>
      <c r="H59" s="87" t="s">
        <v>94</v>
      </c>
    </row>
    <row r="60" spans="3:9" x14ac:dyDescent="0.2">
      <c r="C60" s="83" t="s">
        <v>95</v>
      </c>
      <c r="D60" s="84">
        <v>68.48</v>
      </c>
      <c r="E60" s="85">
        <v>2</v>
      </c>
      <c r="F60" s="85" t="s">
        <v>91</v>
      </c>
      <c r="G60" s="86">
        <f>D60/E60</f>
        <v>34.24</v>
      </c>
      <c r="H60" s="87" t="s">
        <v>91</v>
      </c>
    </row>
    <row r="61" spans="3:9" x14ac:dyDescent="0.2">
      <c r="C61" s="83" t="s">
        <v>108</v>
      </c>
      <c r="D61" s="84">
        <v>99.99</v>
      </c>
      <c r="E61" s="85">
        <v>12</v>
      </c>
      <c r="F61" s="85" t="s">
        <v>91</v>
      </c>
      <c r="G61" s="86">
        <f>D61/E61</f>
        <v>8.3324999999999996</v>
      </c>
      <c r="H61" s="87" t="s">
        <v>91</v>
      </c>
    </row>
    <row r="62" spans="3:9" x14ac:dyDescent="0.2">
      <c r="C62" s="83" t="s">
        <v>96</v>
      </c>
      <c r="D62" s="84">
        <v>38.75</v>
      </c>
      <c r="E62" s="85">
        <v>30</v>
      </c>
      <c r="F62" s="85" t="s">
        <v>91</v>
      </c>
      <c r="G62" s="86">
        <f>D62/E62</f>
        <v>1.2916666666666667</v>
      </c>
      <c r="H62" s="87" t="s">
        <v>91</v>
      </c>
    </row>
    <row r="63" spans="3:9" x14ac:dyDescent="0.2">
      <c r="C63" s="83" t="s">
        <v>113</v>
      </c>
      <c r="D63" s="84">
        <v>349.07</v>
      </c>
      <c r="E63" s="88">
        <v>1</v>
      </c>
      <c r="F63" s="88" t="s">
        <v>94</v>
      </c>
      <c r="G63" s="86">
        <f>(D63/E63)/128</f>
        <v>2.7271093749999999</v>
      </c>
      <c r="H63" s="87" t="s">
        <v>92</v>
      </c>
    </row>
    <row r="64" spans="3:9" x14ac:dyDescent="0.2">
      <c r="C64" s="83" t="s">
        <v>97</v>
      </c>
      <c r="D64" s="84">
        <v>90</v>
      </c>
      <c r="E64" s="85">
        <v>30</v>
      </c>
      <c r="F64" s="85" t="s">
        <v>91</v>
      </c>
      <c r="G64" s="86">
        <f>(D64/E64)</f>
        <v>3</v>
      </c>
      <c r="H64" s="87" t="s">
        <v>91</v>
      </c>
    </row>
    <row r="65" spans="3:8" x14ac:dyDescent="0.2">
      <c r="C65" s="83" t="s">
        <v>98</v>
      </c>
      <c r="D65" s="84">
        <v>389.95</v>
      </c>
      <c r="E65" s="85">
        <v>7.5</v>
      </c>
      <c r="F65" s="85" t="s">
        <v>91</v>
      </c>
      <c r="G65" s="86">
        <f>(D65/E65)/16</f>
        <v>3.2495833333333333</v>
      </c>
      <c r="H65" s="87" t="s">
        <v>92</v>
      </c>
    </row>
    <row r="66" spans="3:8" x14ac:dyDescent="0.2">
      <c r="C66" s="83" t="s">
        <v>111</v>
      </c>
      <c r="D66" s="84">
        <v>96.3</v>
      </c>
      <c r="E66" s="85">
        <v>30</v>
      </c>
      <c r="F66" s="85" t="s">
        <v>92</v>
      </c>
      <c r="G66" s="86">
        <f>D66/E66</f>
        <v>3.21</v>
      </c>
      <c r="H66" s="87" t="s">
        <v>92</v>
      </c>
    </row>
    <row r="67" spans="3:8" x14ac:dyDescent="0.2">
      <c r="C67" s="83" t="s">
        <v>99</v>
      </c>
      <c r="D67" s="84">
        <v>42.5</v>
      </c>
      <c r="E67" s="85">
        <v>2.5</v>
      </c>
      <c r="F67" s="85" t="s">
        <v>94</v>
      </c>
      <c r="G67" s="86">
        <f>(D67/E67)/128</f>
        <v>0.1328125</v>
      </c>
      <c r="H67" s="87" t="s">
        <v>100</v>
      </c>
    </row>
    <row r="68" spans="3:8" x14ac:dyDescent="0.2">
      <c r="C68" s="83" t="s">
        <v>112</v>
      </c>
      <c r="D68" s="84">
        <v>980.74</v>
      </c>
      <c r="E68" s="85">
        <v>1</v>
      </c>
      <c r="F68" s="85" t="s">
        <v>94</v>
      </c>
      <c r="G68" s="86">
        <f>(D68/E68)/128</f>
        <v>7.6620312500000001</v>
      </c>
      <c r="H68" s="87" t="s">
        <v>92</v>
      </c>
    </row>
    <row r="69" spans="3:8" x14ac:dyDescent="0.2">
      <c r="C69" s="83" t="s">
        <v>101</v>
      </c>
      <c r="D69" s="84">
        <v>331.17</v>
      </c>
      <c r="E69" s="85">
        <v>1</v>
      </c>
      <c r="F69" s="85" t="s">
        <v>94</v>
      </c>
      <c r="G69" s="86">
        <f>(D69/E69)/128</f>
        <v>2.5872656250000001</v>
      </c>
      <c r="H69" s="87" t="s">
        <v>100</v>
      </c>
    </row>
    <row r="70" spans="3:8" x14ac:dyDescent="0.2">
      <c r="C70" s="83" t="s">
        <v>106</v>
      </c>
      <c r="D70" s="84">
        <v>294.68</v>
      </c>
      <c r="E70" s="85">
        <v>2.5</v>
      </c>
      <c r="F70" s="85" t="s">
        <v>94</v>
      </c>
      <c r="G70" s="86">
        <f>D70/E70</f>
        <v>117.872</v>
      </c>
      <c r="H70" s="87" t="s">
        <v>94</v>
      </c>
    </row>
    <row r="71" spans="3:8" x14ac:dyDescent="0.2">
      <c r="C71" s="83" t="s">
        <v>105</v>
      </c>
      <c r="D71" s="84">
        <v>152</v>
      </c>
      <c r="E71" s="85">
        <v>2.5</v>
      </c>
      <c r="F71" s="85" t="s">
        <v>94</v>
      </c>
      <c r="G71" s="86">
        <f>D71/E71</f>
        <v>60.8</v>
      </c>
      <c r="H71" s="87" t="s">
        <v>94</v>
      </c>
    </row>
    <row r="72" spans="3:8" x14ac:dyDescent="0.2">
      <c r="C72" s="83" t="s">
        <v>107</v>
      </c>
      <c r="D72" s="84">
        <v>38.75</v>
      </c>
      <c r="E72" s="85">
        <v>30</v>
      </c>
      <c r="F72" s="85" t="s">
        <v>91</v>
      </c>
      <c r="G72" s="86">
        <f>D72/E72</f>
        <v>1.2916666666666667</v>
      </c>
      <c r="H72" s="87" t="s">
        <v>91</v>
      </c>
    </row>
    <row r="73" spans="3:8" x14ac:dyDescent="0.2">
      <c r="C73" s="83" t="s">
        <v>110</v>
      </c>
      <c r="D73" s="89">
        <v>41.92</v>
      </c>
      <c r="E73" s="85">
        <v>16</v>
      </c>
      <c r="F73" s="85" t="s">
        <v>94</v>
      </c>
      <c r="G73" s="86">
        <f>(D73/E73)/128</f>
        <v>2.0468750000000001E-2</v>
      </c>
      <c r="H73" s="87" t="s">
        <v>100</v>
      </c>
    </row>
    <row r="74" spans="3:8" x14ac:dyDescent="0.2">
      <c r="C74" s="83" t="s">
        <v>102</v>
      </c>
      <c r="D74" s="84">
        <v>170</v>
      </c>
      <c r="E74" s="85">
        <v>50</v>
      </c>
      <c r="F74" s="85" t="s">
        <v>92</v>
      </c>
      <c r="G74" s="86">
        <f>D74/E74</f>
        <v>3.4</v>
      </c>
      <c r="H74" s="87" t="s">
        <v>92</v>
      </c>
    </row>
    <row r="75" spans="3:8" x14ac:dyDescent="0.2">
      <c r="C75" s="83" t="s">
        <v>103</v>
      </c>
      <c r="D75" s="84">
        <v>228</v>
      </c>
      <c r="E75" s="85">
        <v>1</v>
      </c>
      <c r="F75" s="85" t="s">
        <v>94</v>
      </c>
      <c r="G75" s="86">
        <f>(D75/E75)/128</f>
        <v>1.78125</v>
      </c>
      <c r="H75" s="87" t="s">
        <v>100</v>
      </c>
    </row>
    <row r="76" spans="3:8" x14ac:dyDescent="0.2">
      <c r="C76" s="81" t="s">
        <v>104</v>
      </c>
      <c r="D76" s="90">
        <v>382.2</v>
      </c>
      <c r="E76" s="91">
        <v>140</v>
      </c>
      <c r="F76" s="91" t="s">
        <v>92</v>
      </c>
      <c r="G76" s="79">
        <f>(D76/E76)</f>
        <v>2.73</v>
      </c>
      <c r="H76" s="82" t="s">
        <v>92</v>
      </c>
    </row>
  </sheetData>
  <sheetProtection algorithmName="SHA-512" hashValue="sI7hkGmeKoY60gzk779cf4BGSArNJ3sqiQea3uGdVxq4H4ZoAdU9XWYjWcRcy9Ko5P7UmHR96yEV3yoC49V9qA==" saltValue="7PRcJCO0I94eh+MGJx35iQ==" spinCount="100000" sheet="1" objects="1" scenarios="1"/>
  <mergeCells count="59">
    <mergeCell ref="I10:I12"/>
    <mergeCell ref="I13:I16"/>
    <mergeCell ref="I17:I20"/>
    <mergeCell ref="I21:I22"/>
    <mergeCell ref="I45:I49"/>
    <mergeCell ref="I23:I26"/>
    <mergeCell ref="I27:I31"/>
    <mergeCell ref="I32:I36"/>
    <mergeCell ref="I37:I40"/>
    <mergeCell ref="I41:I44"/>
    <mergeCell ref="C55:H55"/>
    <mergeCell ref="C7:C9"/>
    <mergeCell ref="C10:C12"/>
    <mergeCell ref="C13:C16"/>
    <mergeCell ref="C17:C20"/>
    <mergeCell ref="C21:C22"/>
    <mergeCell ref="C23:C26"/>
    <mergeCell ref="C27:C31"/>
    <mergeCell ref="C32:C36"/>
    <mergeCell ref="C37:C40"/>
    <mergeCell ref="C41:C44"/>
    <mergeCell ref="C45:C49"/>
    <mergeCell ref="C5:I5"/>
    <mergeCell ref="L28:L30"/>
    <mergeCell ref="S28:S48"/>
    <mergeCell ref="R37:R39"/>
    <mergeCell ref="K28:K48"/>
    <mergeCell ref="L37:L39"/>
    <mergeCell ref="L31:L33"/>
    <mergeCell ref="R28:R30"/>
    <mergeCell ref="R31:R33"/>
    <mergeCell ref="L34:L36"/>
    <mergeCell ref="K16:K27"/>
    <mergeCell ref="R7:R9"/>
    <mergeCell ref="R10:R12"/>
    <mergeCell ref="R13:R15"/>
    <mergeCell ref="R16:R18"/>
    <mergeCell ref="I7:I9"/>
    <mergeCell ref="L13:L15"/>
    <mergeCell ref="K7:K15"/>
    <mergeCell ref="L16:L18"/>
    <mergeCell ref="L19:L21"/>
    <mergeCell ref="K5:S5"/>
    <mergeCell ref="L43:L45"/>
    <mergeCell ref="L46:L48"/>
    <mergeCell ref="S7:S15"/>
    <mergeCell ref="S16:S27"/>
    <mergeCell ref="R34:R36"/>
    <mergeCell ref="R40:R42"/>
    <mergeCell ref="R43:R45"/>
    <mergeCell ref="R46:R48"/>
    <mergeCell ref="L22:L24"/>
    <mergeCell ref="L25:L27"/>
    <mergeCell ref="R22:R24"/>
    <mergeCell ref="R25:R27"/>
    <mergeCell ref="L40:L42"/>
    <mergeCell ref="R19:R21"/>
    <mergeCell ref="L7:L9"/>
    <mergeCell ref="L10:L12"/>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902EF5-7922-A04C-80F1-898EC9D976D1}">
  <sheetPr>
    <tabColor theme="1"/>
  </sheetPr>
  <dimension ref="C3:K37"/>
  <sheetViews>
    <sheetView zoomScale="80" zoomScaleNormal="80" workbookViewId="0">
      <selection activeCell="AA4" sqref="AA4"/>
    </sheetView>
  </sheetViews>
  <sheetFormatPr baseColWidth="10" defaultRowHeight="16" x14ac:dyDescent="0.2"/>
  <cols>
    <col min="1" max="1" width="10.83203125" style="3"/>
    <col min="2" max="2" width="1" style="3" customWidth="1"/>
    <col min="3" max="3" width="13.1640625" style="3" bestFit="1" customWidth="1"/>
    <col min="4" max="4" width="22.33203125" style="3" bestFit="1" customWidth="1"/>
    <col min="5" max="5" width="15.83203125" style="3" bestFit="1" customWidth="1"/>
    <col min="6" max="6" width="26.6640625" style="3" bestFit="1" customWidth="1"/>
    <col min="7" max="10" width="10.83203125" style="3"/>
    <col min="11" max="11" width="16.1640625" style="3" bestFit="1" customWidth="1"/>
    <col min="12" max="12" width="10.83203125" style="3"/>
    <col min="13" max="13" width="14.5" style="3" bestFit="1" customWidth="1"/>
    <col min="14" max="14" width="30.5" style="3" bestFit="1" customWidth="1"/>
    <col min="15" max="15" width="26.6640625" style="3" bestFit="1" customWidth="1"/>
    <col min="16" max="19" width="10.83203125" style="3"/>
    <col min="20" max="20" width="16.1640625" style="3" bestFit="1" customWidth="1"/>
    <col min="21" max="16384" width="10.83203125" style="3"/>
  </cols>
  <sheetData>
    <row r="3" spans="3:11" ht="17" thickBot="1" x14ac:dyDescent="0.25"/>
    <row r="4" spans="3:11" ht="22" thickBot="1" x14ac:dyDescent="0.25">
      <c r="C4" s="579" t="s">
        <v>271</v>
      </c>
      <c r="D4" s="580"/>
      <c r="E4" s="580"/>
      <c r="F4" s="580"/>
      <c r="G4" s="580"/>
      <c r="H4" s="580"/>
      <c r="I4" s="580"/>
      <c r="J4" s="580"/>
      <c r="K4" s="581"/>
    </row>
    <row r="5" spans="3:11" ht="17" thickBot="1" x14ac:dyDescent="0.25">
      <c r="C5" s="94" t="s">
        <v>115</v>
      </c>
      <c r="D5" s="106" t="s">
        <v>125</v>
      </c>
      <c r="E5" s="106" t="s">
        <v>85</v>
      </c>
      <c r="F5" s="106" t="s">
        <v>273</v>
      </c>
      <c r="G5" s="106" t="s">
        <v>126</v>
      </c>
      <c r="H5" s="106" t="s">
        <v>127</v>
      </c>
      <c r="I5" s="106" t="s">
        <v>86</v>
      </c>
      <c r="J5" s="106" t="s">
        <v>128</v>
      </c>
      <c r="K5" s="107" t="s">
        <v>142</v>
      </c>
    </row>
    <row r="6" spans="3:11" x14ac:dyDescent="0.2">
      <c r="C6" s="576">
        <v>0</v>
      </c>
      <c r="D6" s="575">
        <v>1</v>
      </c>
      <c r="E6" s="108" t="s">
        <v>260</v>
      </c>
      <c r="F6" s="612" t="s">
        <v>259</v>
      </c>
      <c r="G6" s="108">
        <v>1</v>
      </c>
      <c r="H6" s="102" t="s">
        <v>94</v>
      </c>
      <c r="I6" s="103">
        <f>G6*G$30</f>
        <v>16</v>
      </c>
      <c r="J6" s="614">
        <f>SUM(I6:I7)</f>
        <v>22.45966</v>
      </c>
      <c r="K6" s="584">
        <f>J6</f>
        <v>22.45966</v>
      </c>
    </row>
    <row r="7" spans="3:11" ht="17" thickBot="1" x14ac:dyDescent="0.25">
      <c r="C7" s="578"/>
      <c r="D7" s="566"/>
      <c r="E7" s="70" t="s">
        <v>261</v>
      </c>
      <c r="F7" s="613"/>
      <c r="G7" s="70">
        <v>1.7</v>
      </c>
      <c r="H7" s="70" t="s">
        <v>274</v>
      </c>
      <c r="I7" s="80">
        <f>G7*G$31</f>
        <v>6.4596600000000004</v>
      </c>
      <c r="J7" s="615"/>
      <c r="K7" s="586"/>
    </row>
    <row r="8" spans="3:11" x14ac:dyDescent="0.2">
      <c r="C8" s="576">
        <v>1</v>
      </c>
      <c r="D8" s="95">
        <v>1</v>
      </c>
      <c r="E8" s="96" t="s">
        <v>262</v>
      </c>
      <c r="F8" s="97" t="s">
        <v>275</v>
      </c>
      <c r="G8" s="96">
        <v>1.5</v>
      </c>
      <c r="H8" s="96" t="s">
        <v>136</v>
      </c>
      <c r="I8" s="98">
        <f>(G$32/4)*G8</f>
        <v>27.03</v>
      </c>
      <c r="J8" s="99">
        <f>I8</f>
        <v>27.03</v>
      </c>
      <c r="K8" s="584">
        <f>SUM(J8:J10)</f>
        <v>41.489660000000001</v>
      </c>
    </row>
    <row r="9" spans="3:11" x14ac:dyDescent="0.2">
      <c r="C9" s="577"/>
      <c r="D9" s="565">
        <v>2</v>
      </c>
      <c r="E9" s="1" t="s">
        <v>260</v>
      </c>
      <c r="F9" s="607" t="s">
        <v>276</v>
      </c>
      <c r="G9" s="1">
        <v>0.5</v>
      </c>
      <c r="H9" s="1" t="s">
        <v>94</v>
      </c>
      <c r="I9" s="77">
        <f>G9*G$30</f>
        <v>8</v>
      </c>
      <c r="J9" s="588">
        <f>SUM(I9:I10)</f>
        <v>14.45966</v>
      </c>
      <c r="K9" s="585"/>
    </row>
    <row r="10" spans="3:11" ht="17" thickBot="1" x14ac:dyDescent="0.25">
      <c r="C10" s="578"/>
      <c r="D10" s="566"/>
      <c r="E10" s="55" t="s">
        <v>261</v>
      </c>
      <c r="F10" s="608"/>
      <c r="G10" s="55">
        <v>1.7</v>
      </c>
      <c r="H10" s="55" t="s">
        <v>274</v>
      </c>
      <c r="I10" s="80">
        <f>G10*G$31</f>
        <v>6.4596600000000004</v>
      </c>
      <c r="J10" s="615"/>
      <c r="K10" s="586"/>
    </row>
    <row r="11" spans="3:11" x14ac:dyDescent="0.2">
      <c r="C11" s="576">
        <v>2</v>
      </c>
      <c r="D11" s="95">
        <v>1</v>
      </c>
      <c r="E11" s="96" t="s">
        <v>263</v>
      </c>
      <c r="F11" s="97" t="s">
        <v>275</v>
      </c>
      <c r="G11" s="96">
        <v>1.5</v>
      </c>
      <c r="H11" s="96" t="s">
        <v>94</v>
      </c>
      <c r="I11" s="98">
        <f>G11*G$34</f>
        <v>71.97</v>
      </c>
      <c r="J11" s="99">
        <f>I11</f>
        <v>71.97</v>
      </c>
      <c r="K11" s="584">
        <f>SUM(J11:J15)</f>
        <v>100.88932</v>
      </c>
    </row>
    <row r="12" spans="3:11" x14ac:dyDescent="0.2">
      <c r="C12" s="577"/>
      <c r="D12" s="564">
        <v>2</v>
      </c>
      <c r="E12" s="100" t="s">
        <v>260</v>
      </c>
      <c r="F12" s="609" t="s">
        <v>276</v>
      </c>
      <c r="G12" s="100">
        <v>0.5</v>
      </c>
      <c r="H12" s="100" t="s">
        <v>94</v>
      </c>
      <c r="I12" s="78">
        <f>G12*G$30</f>
        <v>8</v>
      </c>
      <c r="J12" s="587">
        <f>SUM(I12:I13)</f>
        <v>14.45966</v>
      </c>
      <c r="K12" s="585"/>
    </row>
    <row r="13" spans="3:11" x14ac:dyDescent="0.2">
      <c r="C13" s="577"/>
      <c r="D13" s="526"/>
      <c r="E13" s="11" t="s">
        <v>261</v>
      </c>
      <c r="F13" s="610"/>
      <c r="G13" s="11">
        <v>1.7</v>
      </c>
      <c r="H13" s="11" t="s">
        <v>274</v>
      </c>
      <c r="I13" s="79">
        <f>G13*G$31</f>
        <v>6.4596600000000004</v>
      </c>
      <c r="J13" s="589"/>
      <c r="K13" s="585"/>
    </row>
    <row r="14" spans="3:11" x14ac:dyDescent="0.2">
      <c r="C14" s="577"/>
      <c r="D14" s="565">
        <v>3</v>
      </c>
      <c r="E14" s="1" t="s">
        <v>260</v>
      </c>
      <c r="F14" s="607" t="s">
        <v>276</v>
      </c>
      <c r="G14" s="1">
        <v>0.5</v>
      </c>
      <c r="H14" s="1" t="s">
        <v>94</v>
      </c>
      <c r="I14" s="77">
        <f>G14*G$30</f>
        <v>8</v>
      </c>
      <c r="J14" s="588">
        <f>SUM(I14:I15)</f>
        <v>14.45966</v>
      </c>
      <c r="K14" s="585"/>
    </row>
    <row r="15" spans="3:11" ht="17" thickBot="1" x14ac:dyDescent="0.25">
      <c r="C15" s="578"/>
      <c r="D15" s="566"/>
      <c r="E15" s="55" t="s">
        <v>261</v>
      </c>
      <c r="F15" s="608"/>
      <c r="G15" s="55">
        <v>1.7</v>
      </c>
      <c r="H15" s="55" t="s">
        <v>274</v>
      </c>
      <c r="I15" s="80">
        <f>G15*G$31</f>
        <v>6.4596600000000004</v>
      </c>
      <c r="J15" s="615"/>
      <c r="K15" s="586"/>
    </row>
    <row r="16" spans="3:11" x14ac:dyDescent="0.2">
      <c r="C16" s="576">
        <v>3</v>
      </c>
      <c r="D16" s="95">
        <v>1</v>
      </c>
      <c r="E16" s="96" t="s">
        <v>263</v>
      </c>
      <c r="F16" s="101" t="s">
        <v>275</v>
      </c>
      <c r="G16" s="96">
        <v>1.5</v>
      </c>
      <c r="H16" s="96" t="s">
        <v>94</v>
      </c>
      <c r="I16" s="98">
        <f>G16*G$34</f>
        <v>71.97</v>
      </c>
      <c r="J16" s="99">
        <f>I16</f>
        <v>71.97</v>
      </c>
      <c r="K16" s="584">
        <f>SUM(J16:J20)</f>
        <v>100.88932</v>
      </c>
    </row>
    <row r="17" spans="3:11" x14ac:dyDescent="0.2">
      <c r="C17" s="577"/>
      <c r="D17" s="564">
        <v>2</v>
      </c>
      <c r="E17" s="100" t="s">
        <v>260</v>
      </c>
      <c r="F17" s="609" t="s">
        <v>276</v>
      </c>
      <c r="G17" s="100">
        <v>0.5</v>
      </c>
      <c r="H17" s="100" t="s">
        <v>94</v>
      </c>
      <c r="I17" s="78">
        <f>G17*G$30</f>
        <v>8</v>
      </c>
      <c r="J17" s="587">
        <f>SUM(I17:I18)</f>
        <v>14.45966</v>
      </c>
      <c r="K17" s="585"/>
    </row>
    <row r="18" spans="3:11" x14ac:dyDescent="0.2">
      <c r="C18" s="577"/>
      <c r="D18" s="526"/>
      <c r="E18" s="11" t="s">
        <v>261</v>
      </c>
      <c r="F18" s="610"/>
      <c r="G18" s="11">
        <v>1.7</v>
      </c>
      <c r="H18" s="11" t="s">
        <v>274</v>
      </c>
      <c r="I18" s="79">
        <f>G18*G$31</f>
        <v>6.4596600000000004</v>
      </c>
      <c r="J18" s="589"/>
      <c r="K18" s="585"/>
    </row>
    <row r="19" spans="3:11" x14ac:dyDescent="0.2">
      <c r="C19" s="577"/>
      <c r="D19" s="565">
        <v>3</v>
      </c>
      <c r="E19" s="1" t="s">
        <v>260</v>
      </c>
      <c r="F19" s="607" t="s">
        <v>276</v>
      </c>
      <c r="G19" s="1">
        <v>0.5</v>
      </c>
      <c r="H19" s="1" t="s">
        <v>94</v>
      </c>
      <c r="I19" s="77">
        <f>G19*G$30</f>
        <v>8</v>
      </c>
      <c r="J19" s="588">
        <f>SUM(I19:I20)</f>
        <v>14.45966</v>
      </c>
      <c r="K19" s="585"/>
    </row>
    <row r="20" spans="3:11" ht="17" thickBot="1" x14ac:dyDescent="0.25">
      <c r="C20" s="578"/>
      <c r="D20" s="566"/>
      <c r="E20" s="55" t="s">
        <v>261</v>
      </c>
      <c r="F20" s="608"/>
      <c r="G20" s="55">
        <v>1.7</v>
      </c>
      <c r="H20" s="55" t="s">
        <v>274</v>
      </c>
      <c r="I20" s="80">
        <f>G20*G$31</f>
        <v>6.4596600000000004</v>
      </c>
      <c r="J20" s="615"/>
      <c r="K20" s="586"/>
    </row>
    <row r="21" spans="3:11" x14ac:dyDescent="0.2">
      <c r="C21" s="576">
        <v>4</v>
      </c>
      <c r="D21" s="575">
        <v>1</v>
      </c>
      <c r="E21" s="102" t="s">
        <v>264</v>
      </c>
      <c r="F21" s="611" t="s">
        <v>275</v>
      </c>
      <c r="G21" s="102">
        <v>20</v>
      </c>
      <c r="H21" s="102" t="s">
        <v>277</v>
      </c>
      <c r="I21" s="103">
        <f>(G35/128)*G21</f>
        <v>13.521874999999998</v>
      </c>
      <c r="J21" s="614">
        <f>SUM(I21:I22)</f>
        <v>32.643124999999998</v>
      </c>
      <c r="K21" s="584">
        <f>SUM(J21:J24)</f>
        <v>47.102784999999997</v>
      </c>
    </row>
    <row r="22" spans="3:11" x14ac:dyDescent="0.2">
      <c r="C22" s="577"/>
      <c r="D22" s="526"/>
      <c r="E22" s="11" t="s">
        <v>266</v>
      </c>
      <c r="F22" s="610"/>
      <c r="G22" s="11">
        <v>24</v>
      </c>
      <c r="H22" s="11" t="s">
        <v>277</v>
      </c>
      <c r="I22" s="79">
        <f>G22*G33</f>
        <v>19.121249999999996</v>
      </c>
      <c r="J22" s="526"/>
      <c r="K22" s="585"/>
    </row>
    <row r="23" spans="3:11" x14ac:dyDescent="0.2">
      <c r="C23" s="577"/>
      <c r="D23" s="565">
        <v>2</v>
      </c>
      <c r="E23" s="1" t="s">
        <v>260</v>
      </c>
      <c r="F23" s="607" t="s">
        <v>276</v>
      </c>
      <c r="G23" s="1">
        <v>0.5</v>
      </c>
      <c r="H23" s="1" t="s">
        <v>94</v>
      </c>
      <c r="I23" s="77">
        <f>G23*G$30</f>
        <v>8</v>
      </c>
      <c r="J23" s="588">
        <f>SUM(I23:I24)</f>
        <v>14.45966</v>
      </c>
      <c r="K23" s="585"/>
    </row>
    <row r="24" spans="3:11" ht="17" thickBot="1" x14ac:dyDescent="0.25">
      <c r="C24" s="578"/>
      <c r="D24" s="566"/>
      <c r="E24" s="55" t="s">
        <v>261</v>
      </c>
      <c r="F24" s="608"/>
      <c r="G24" s="55">
        <v>1.7</v>
      </c>
      <c r="H24" s="55" t="s">
        <v>274</v>
      </c>
      <c r="I24" s="80">
        <f>G24*G$31</f>
        <v>6.4596600000000004</v>
      </c>
      <c r="J24" s="615"/>
      <c r="K24" s="586"/>
    </row>
    <row r="26" spans="3:11" ht="17" thickBot="1" x14ac:dyDescent="0.25">
      <c r="C26" s="109"/>
      <c r="D26" s="109"/>
      <c r="E26" s="109"/>
      <c r="F26" s="109"/>
      <c r="G26" s="606"/>
      <c r="H26" s="606"/>
      <c r="I26" s="606"/>
      <c r="J26" s="110"/>
    </row>
    <row r="27" spans="3:11" ht="21" x14ac:dyDescent="0.25">
      <c r="C27" s="597" t="s">
        <v>272</v>
      </c>
      <c r="D27" s="598"/>
      <c r="E27" s="598"/>
      <c r="F27" s="598"/>
      <c r="G27" s="598"/>
      <c r="H27" s="599"/>
      <c r="I27" s="109"/>
      <c r="J27" s="109"/>
    </row>
    <row r="28" spans="3:11" x14ac:dyDescent="0.2">
      <c r="C28" s="604" t="s">
        <v>85</v>
      </c>
      <c r="D28" s="600" t="s">
        <v>267</v>
      </c>
      <c r="E28" s="601"/>
      <c r="F28" s="602"/>
      <c r="G28" s="600" t="s">
        <v>268</v>
      </c>
      <c r="H28" s="603"/>
      <c r="I28" s="109"/>
      <c r="J28" s="109"/>
    </row>
    <row r="29" spans="3:11" x14ac:dyDescent="0.2">
      <c r="C29" s="605"/>
      <c r="D29" s="111" t="s">
        <v>87</v>
      </c>
      <c r="E29" s="112" t="s">
        <v>88</v>
      </c>
      <c r="F29" s="113" t="s">
        <v>86</v>
      </c>
      <c r="G29" s="111" t="s">
        <v>269</v>
      </c>
      <c r="H29" s="158" t="s">
        <v>88</v>
      </c>
      <c r="I29" s="109"/>
      <c r="J29" s="109"/>
    </row>
    <row r="30" spans="3:11" x14ac:dyDescent="0.2">
      <c r="C30" s="10" t="s">
        <v>260</v>
      </c>
      <c r="D30" s="104">
        <v>2.5</v>
      </c>
      <c r="E30" s="1" t="s">
        <v>94</v>
      </c>
      <c r="F30" s="105">
        <v>40</v>
      </c>
      <c r="G30" s="114">
        <f t="shared" ref="G30:G35" si="0">F30/D30</f>
        <v>16</v>
      </c>
      <c r="H30" s="54" t="s">
        <v>94</v>
      </c>
      <c r="I30" s="109"/>
      <c r="J30" s="109"/>
    </row>
    <row r="31" spans="3:11" x14ac:dyDescent="0.2">
      <c r="C31" s="10" t="s">
        <v>270</v>
      </c>
      <c r="D31" s="104">
        <v>50</v>
      </c>
      <c r="E31" s="1" t="s">
        <v>91</v>
      </c>
      <c r="F31" s="105">
        <v>189.99</v>
      </c>
      <c r="G31" s="114">
        <f t="shared" si="0"/>
        <v>3.7998000000000003</v>
      </c>
      <c r="H31" s="54" t="s">
        <v>91</v>
      </c>
      <c r="I31" s="109"/>
      <c r="J31" s="109"/>
    </row>
    <row r="32" spans="3:11" x14ac:dyDescent="0.2">
      <c r="C32" s="10" t="s">
        <v>262</v>
      </c>
      <c r="D32" s="104">
        <v>2.5</v>
      </c>
      <c r="E32" s="1" t="s">
        <v>94</v>
      </c>
      <c r="F32" s="105">
        <v>180.2</v>
      </c>
      <c r="G32" s="114">
        <f t="shared" si="0"/>
        <v>72.08</v>
      </c>
      <c r="H32" s="54" t="s">
        <v>94</v>
      </c>
      <c r="I32" s="109"/>
      <c r="J32" s="109"/>
    </row>
    <row r="33" spans="3:10" x14ac:dyDescent="0.2">
      <c r="C33" s="10" t="s">
        <v>266</v>
      </c>
      <c r="D33" s="104">
        <v>2.5</v>
      </c>
      <c r="E33" s="1" t="s">
        <v>94</v>
      </c>
      <c r="F33" s="105">
        <v>254.95</v>
      </c>
      <c r="G33" s="114">
        <f>(F33/D33)/128</f>
        <v>0.79671874999999992</v>
      </c>
      <c r="H33" s="54" t="s">
        <v>265</v>
      </c>
      <c r="I33" s="109"/>
      <c r="J33" s="109"/>
    </row>
    <row r="34" spans="3:10" x14ac:dyDescent="0.2">
      <c r="C34" s="10" t="s">
        <v>263</v>
      </c>
      <c r="D34" s="104">
        <v>2.5</v>
      </c>
      <c r="E34" s="1" t="s">
        <v>94</v>
      </c>
      <c r="F34" s="105">
        <v>119.95</v>
      </c>
      <c r="G34" s="114">
        <f t="shared" si="0"/>
        <v>47.980000000000004</v>
      </c>
      <c r="H34" s="54" t="s">
        <v>94</v>
      </c>
      <c r="I34" s="109"/>
      <c r="J34" s="109"/>
    </row>
    <row r="35" spans="3:10" ht="17" thickBot="1" x14ac:dyDescent="0.25">
      <c r="C35" s="159" t="s">
        <v>264</v>
      </c>
      <c r="D35" s="160">
        <v>2.5</v>
      </c>
      <c r="E35" s="55" t="s">
        <v>94</v>
      </c>
      <c r="F35" s="161">
        <v>216.35</v>
      </c>
      <c r="G35" s="162">
        <f t="shared" si="0"/>
        <v>86.539999999999992</v>
      </c>
      <c r="H35" s="56" t="s">
        <v>94</v>
      </c>
      <c r="I35" s="109"/>
      <c r="J35" s="109"/>
    </row>
    <row r="36" spans="3:10" x14ac:dyDescent="0.2">
      <c r="C36" s="109"/>
      <c r="D36" s="109"/>
      <c r="E36" s="109"/>
      <c r="F36" s="109"/>
      <c r="G36" s="109"/>
      <c r="H36" s="109"/>
      <c r="I36" s="109"/>
      <c r="J36" s="109"/>
    </row>
    <row r="37" spans="3:10" x14ac:dyDescent="0.2">
      <c r="C37" s="109"/>
      <c r="D37" s="109"/>
      <c r="E37" s="109"/>
      <c r="F37" s="109"/>
      <c r="G37" s="109"/>
      <c r="H37" s="109"/>
      <c r="I37" s="109"/>
      <c r="J37" s="109"/>
    </row>
  </sheetData>
  <sheetProtection algorithmName="SHA-512" hashValue="IpXgozedI8O7+M+fN3KLFrnVSL42IxPAGbRZBzghWAMs+QoppaNx1s3XKjtiuvrRVZgVGinX3uBhLbY/RyVm9g==" saltValue="x+YCCk12ItHXlCvzWz9hyA==" spinCount="100000" sheet="1" objects="1" scenarios="1"/>
  <mergeCells count="40">
    <mergeCell ref="D23:D24"/>
    <mergeCell ref="F6:F7"/>
    <mergeCell ref="K6:K7"/>
    <mergeCell ref="K8:K10"/>
    <mergeCell ref="K11:K15"/>
    <mergeCell ref="K16:K20"/>
    <mergeCell ref="K21:K24"/>
    <mergeCell ref="F23:F24"/>
    <mergeCell ref="J6:J7"/>
    <mergeCell ref="J9:J10"/>
    <mergeCell ref="J12:J13"/>
    <mergeCell ref="J14:J15"/>
    <mergeCell ref="J17:J18"/>
    <mergeCell ref="J19:J20"/>
    <mergeCell ref="J21:J22"/>
    <mergeCell ref="J23:J24"/>
    <mergeCell ref="F14:F15"/>
    <mergeCell ref="F17:F18"/>
    <mergeCell ref="F19:F20"/>
    <mergeCell ref="C4:K4"/>
    <mergeCell ref="F21:F22"/>
    <mergeCell ref="D17:D18"/>
    <mergeCell ref="D19:D20"/>
    <mergeCell ref="D21:D22"/>
    <mergeCell ref="C27:H27"/>
    <mergeCell ref="D28:F28"/>
    <mergeCell ref="G28:H28"/>
    <mergeCell ref="C28:C29"/>
    <mergeCell ref="D6:D7"/>
    <mergeCell ref="D9:D10"/>
    <mergeCell ref="D12:D13"/>
    <mergeCell ref="D14:D15"/>
    <mergeCell ref="G26:I26"/>
    <mergeCell ref="C6:C7"/>
    <mergeCell ref="C8:C10"/>
    <mergeCell ref="C11:C15"/>
    <mergeCell ref="C16:C20"/>
    <mergeCell ref="C21:C24"/>
    <mergeCell ref="F9:F10"/>
    <mergeCell ref="F12:F13"/>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B213E4-1A94-D144-8986-8FC31488DA42}">
  <sheetPr>
    <tabColor theme="1"/>
  </sheetPr>
  <dimension ref="B3:G29"/>
  <sheetViews>
    <sheetView zoomScale="80" zoomScaleNormal="80" workbookViewId="0">
      <selection activeCell="AD3" sqref="AD3"/>
    </sheetView>
  </sheetViews>
  <sheetFormatPr baseColWidth="10" defaultRowHeight="16" x14ac:dyDescent="0.2"/>
  <cols>
    <col min="1" max="2" width="10.83203125" style="3"/>
    <col min="3" max="3" width="28.33203125" style="3" bestFit="1" customWidth="1"/>
    <col min="4" max="4" width="12.1640625" style="3" bestFit="1" customWidth="1"/>
    <col min="5" max="5" width="8.6640625" style="3" bestFit="1" customWidth="1"/>
    <col min="6" max="6" width="10.33203125" style="3" customWidth="1"/>
    <col min="7" max="12" width="10.83203125" style="3"/>
    <col min="13" max="13" width="20.5" style="3" bestFit="1" customWidth="1"/>
    <col min="14" max="16384" width="10.83203125" style="3"/>
  </cols>
  <sheetData>
    <row r="3" spans="2:7" ht="17" thickBot="1" x14ac:dyDescent="0.25"/>
    <row r="4" spans="2:7" ht="22" thickBot="1" x14ac:dyDescent="0.3">
      <c r="B4" s="619" t="s">
        <v>308</v>
      </c>
      <c r="C4" s="620"/>
      <c r="D4" s="620"/>
      <c r="E4" s="620"/>
      <c r="F4" s="620"/>
      <c r="G4" s="621"/>
    </row>
    <row r="5" spans="2:7" ht="17" thickBot="1" x14ac:dyDescent="0.25">
      <c r="B5" s="115" t="s">
        <v>115</v>
      </c>
      <c r="C5" s="116" t="s">
        <v>258</v>
      </c>
      <c r="D5" s="116" t="s">
        <v>299</v>
      </c>
      <c r="E5" s="116" t="s">
        <v>88</v>
      </c>
      <c r="F5" s="116" t="s">
        <v>146</v>
      </c>
      <c r="G5" s="117" t="s">
        <v>300</v>
      </c>
    </row>
    <row r="6" spans="2:7" x14ac:dyDescent="0.2">
      <c r="B6" s="576">
        <v>0</v>
      </c>
      <c r="C6" s="102" t="s">
        <v>283</v>
      </c>
      <c r="D6" s="102">
        <v>0.4</v>
      </c>
      <c r="E6" s="102" t="s">
        <v>306</v>
      </c>
      <c r="F6" s="118">
        <f>D6*D$28</f>
        <v>4</v>
      </c>
      <c r="G6" s="616">
        <f>SUM(F6:F8)</f>
        <v>176.5</v>
      </c>
    </row>
    <row r="7" spans="2:7" x14ac:dyDescent="0.2">
      <c r="B7" s="577"/>
      <c r="C7" s="1" t="s">
        <v>285</v>
      </c>
      <c r="D7" s="1">
        <v>2</v>
      </c>
      <c r="E7" s="1" t="s">
        <v>286</v>
      </c>
      <c r="F7" s="119">
        <f>D7*D$23</f>
        <v>90</v>
      </c>
      <c r="G7" s="617"/>
    </row>
    <row r="8" spans="2:7" ht="17" thickBot="1" x14ac:dyDescent="0.25">
      <c r="B8" s="578"/>
      <c r="C8" s="55" t="s">
        <v>301</v>
      </c>
      <c r="D8" s="55">
        <v>300</v>
      </c>
      <c r="E8" s="55" t="s">
        <v>274</v>
      </c>
      <c r="F8" s="120">
        <f>(D$21/2000)*D8</f>
        <v>82.5</v>
      </c>
      <c r="G8" s="618"/>
    </row>
    <row r="9" spans="2:7" x14ac:dyDescent="0.2">
      <c r="B9" s="576">
        <v>1</v>
      </c>
      <c r="C9" s="102" t="s">
        <v>287</v>
      </c>
      <c r="D9" s="102">
        <v>30</v>
      </c>
      <c r="E9" s="102" t="s">
        <v>274</v>
      </c>
      <c r="F9" s="121">
        <f>D9*D$22</f>
        <v>9.7349999999999994</v>
      </c>
      <c r="G9" s="616">
        <f>SUM(F9:F10)</f>
        <v>309.73500000000001</v>
      </c>
    </row>
    <row r="10" spans="2:7" ht="17" thickBot="1" x14ac:dyDescent="0.25">
      <c r="B10" s="578"/>
      <c r="C10" s="55" t="s">
        <v>302</v>
      </c>
      <c r="D10" s="55">
        <v>20</v>
      </c>
      <c r="E10" s="55" t="s">
        <v>288</v>
      </c>
      <c r="F10" s="122">
        <f>D10*D$29</f>
        <v>300</v>
      </c>
      <c r="G10" s="618"/>
    </row>
    <row r="11" spans="2:7" ht="17" thickBot="1" x14ac:dyDescent="0.25">
      <c r="B11" s="123">
        <v>2</v>
      </c>
      <c r="C11" s="116" t="s">
        <v>287</v>
      </c>
      <c r="D11" s="116">
        <v>30</v>
      </c>
      <c r="E11" s="116" t="s">
        <v>274</v>
      </c>
      <c r="F11" s="124">
        <f>D11*D$22</f>
        <v>9.7349999999999994</v>
      </c>
      <c r="G11" s="24">
        <f>F11</f>
        <v>9.7349999999999994</v>
      </c>
    </row>
    <row r="12" spans="2:7" x14ac:dyDescent="0.2">
      <c r="B12" s="576" t="s">
        <v>303</v>
      </c>
      <c r="C12" s="102" t="s">
        <v>290</v>
      </c>
      <c r="D12" s="102">
        <v>2.5</v>
      </c>
      <c r="E12" s="102" t="s">
        <v>274</v>
      </c>
      <c r="F12" s="121">
        <f>D12*D$24</f>
        <v>6.5949999999999998</v>
      </c>
      <c r="G12" s="616">
        <f>SUM(F12:F17)</f>
        <v>148.84220000000002</v>
      </c>
    </row>
    <row r="13" spans="2:7" x14ac:dyDescent="0.2">
      <c r="B13" s="577"/>
      <c r="C13" s="1" t="s">
        <v>304</v>
      </c>
      <c r="D13" s="1">
        <v>300</v>
      </c>
      <c r="E13" s="1" t="s">
        <v>274</v>
      </c>
      <c r="F13" s="125">
        <f>(D$21/2000)*D13</f>
        <v>82.5</v>
      </c>
      <c r="G13" s="617"/>
    </row>
    <row r="14" spans="2:7" x14ac:dyDescent="0.2">
      <c r="B14" s="577"/>
      <c r="C14" s="1" t="s">
        <v>519</v>
      </c>
      <c r="D14" s="1">
        <v>40</v>
      </c>
      <c r="E14" s="1" t="s">
        <v>274</v>
      </c>
      <c r="F14" s="125">
        <f>D14*D26</f>
        <v>6.9071999999999996</v>
      </c>
      <c r="G14" s="617"/>
    </row>
    <row r="15" spans="2:7" x14ac:dyDescent="0.2">
      <c r="B15" s="577"/>
      <c r="C15" s="1" t="s">
        <v>305</v>
      </c>
      <c r="D15" s="1">
        <v>1</v>
      </c>
      <c r="E15" s="1" t="s">
        <v>286</v>
      </c>
      <c r="F15" s="119">
        <f>D15*D$23</f>
        <v>45</v>
      </c>
      <c r="G15" s="617"/>
    </row>
    <row r="16" spans="2:7" x14ac:dyDescent="0.2">
      <c r="B16" s="577"/>
      <c r="C16" s="1" t="s">
        <v>292</v>
      </c>
      <c r="D16" s="1">
        <v>0.16</v>
      </c>
      <c r="E16" s="1" t="s">
        <v>306</v>
      </c>
      <c r="F16" s="125">
        <f>D16*D$27</f>
        <v>3.84</v>
      </c>
      <c r="G16" s="617"/>
    </row>
    <row r="17" spans="2:7" ht="17" thickBot="1" x14ac:dyDescent="0.25">
      <c r="B17" s="578"/>
      <c r="C17" s="55" t="s">
        <v>307</v>
      </c>
      <c r="D17" s="55">
        <v>0.4</v>
      </c>
      <c r="E17" s="55" t="s">
        <v>306</v>
      </c>
      <c r="F17" s="126">
        <f>D17*D$28</f>
        <v>4</v>
      </c>
      <c r="G17" s="618"/>
    </row>
    <row r="19" spans="2:7" ht="17" thickBot="1" x14ac:dyDescent="0.25"/>
    <row r="20" spans="2:7" x14ac:dyDescent="0.2">
      <c r="C20" s="127" t="s">
        <v>258</v>
      </c>
      <c r="D20" s="128" t="s">
        <v>146</v>
      </c>
      <c r="E20" s="163"/>
    </row>
    <row r="21" spans="2:7" x14ac:dyDescent="0.2">
      <c r="C21" s="50" t="s">
        <v>291</v>
      </c>
      <c r="D21" s="129">
        <v>550</v>
      </c>
      <c r="E21" s="75" t="s">
        <v>27</v>
      </c>
    </row>
    <row r="22" spans="2:7" x14ac:dyDescent="0.2">
      <c r="C22" s="130" t="s">
        <v>293</v>
      </c>
      <c r="D22" s="131">
        <f>12.98/40</f>
        <v>0.32450000000000001</v>
      </c>
      <c r="E22" s="75" t="s">
        <v>157</v>
      </c>
    </row>
    <row r="23" spans="2:7" x14ac:dyDescent="0.2">
      <c r="C23" s="33" t="s">
        <v>294</v>
      </c>
      <c r="D23" s="129">
        <v>45</v>
      </c>
      <c r="E23" s="75" t="s">
        <v>27</v>
      </c>
    </row>
    <row r="24" spans="2:7" x14ac:dyDescent="0.2">
      <c r="C24" s="33" t="s">
        <v>295</v>
      </c>
      <c r="D24" s="131">
        <f>65.95/25</f>
        <v>2.6379999999999999</v>
      </c>
      <c r="E24" s="75" t="s">
        <v>157</v>
      </c>
    </row>
    <row r="25" spans="2:7" x14ac:dyDescent="0.2">
      <c r="C25" s="33" t="s">
        <v>296</v>
      </c>
      <c r="D25" s="132">
        <v>45</v>
      </c>
      <c r="E25" s="75" t="s">
        <v>27</v>
      </c>
    </row>
    <row r="26" spans="2:7" x14ac:dyDescent="0.2">
      <c r="C26" s="33" t="s">
        <v>519</v>
      </c>
      <c r="D26" s="132">
        <f>345.36/2000</f>
        <v>0.17268</v>
      </c>
      <c r="E26" s="75" t="s">
        <v>157</v>
      </c>
    </row>
    <row r="27" spans="2:7" x14ac:dyDescent="0.2">
      <c r="C27" s="33" t="s">
        <v>297</v>
      </c>
      <c r="D27" s="129">
        <v>24</v>
      </c>
      <c r="E27" s="75" t="s">
        <v>284</v>
      </c>
    </row>
    <row r="28" spans="2:7" x14ac:dyDescent="0.2">
      <c r="C28" s="33" t="s">
        <v>190</v>
      </c>
      <c r="D28" s="129">
        <v>10</v>
      </c>
      <c r="E28" s="75" t="s">
        <v>284</v>
      </c>
    </row>
    <row r="29" spans="2:7" ht="17" thickBot="1" x14ac:dyDescent="0.25">
      <c r="C29" s="76" t="s">
        <v>298</v>
      </c>
      <c r="D29" s="133">
        <v>15</v>
      </c>
      <c r="E29" s="164" t="s">
        <v>289</v>
      </c>
    </row>
  </sheetData>
  <sheetProtection algorithmName="SHA-512" hashValue="q+J95s2/qA7HTopfaJBATc1mNzgOWvpGQupVNjnqa6RKcNu20OoRVwD+Bj4OOnm0Y8G4GMM80ZRIFe0UWO5GoA==" saltValue="ciMvzmG669NhZF5JiMZvjg==" spinCount="100000" sheet="1" objects="1" scenarios="1"/>
  <mergeCells count="7">
    <mergeCell ref="G12:G17"/>
    <mergeCell ref="B12:B17"/>
    <mergeCell ref="B4:G4"/>
    <mergeCell ref="G6:G8"/>
    <mergeCell ref="G9:G10"/>
    <mergeCell ref="B6:B8"/>
    <mergeCell ref="B9:B10"/>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0598DA-EC85-604B-8C48-E3BF950AC920}">
  <sheetPr>
    <tabColor rgb="FF00B0F0"/>
  </sheetPr>
  <dimension ref="B2:P80"/>
  <sheetViews>
    <sheetView zoomScale="120" zoomScaleNormal="120" workbookViewId="0">
      <selection activeCell="C34" sqref="C34"/>
    </sheetView>
  </sheetViews>
  <sheetFormatPr baseColWidth="10" defaultRowHeight="16" x14ac:dyDescent="0.2"/>
  <cols>
    <col min="1" max="1" width="10.83203125" style="2"/>
    <col min="2" max="2" width="33" style="2" bestFit="1" customWidth="1"/>
    <col min="3" max="3" width="107.83203125" style="2" customWidth="1"/>
    <col min="4" max="4" width="15.5" style="2" bestFit="1" customWidth="1"/>
    <col min="5" max="16384" width="10.83203125" style="2"/>
  </cols>
  <sheetData>
    <row r="2" spans="2:16" ht="21" x14ac:dyDescent="0.25">
      <c r="B2" s="28" t="s">
        <v>441</v>
      </c>
    </row>
    <row r="3" spans="2:16" ht="17" thickBot="1" x14ac:dyDescent="0.25">
      <c r="B3" s="58" t="s">
        <v>451</v>
      </c>
      <c r="C3" s="58" t="s">
        <v>452</v>
      </c>
      <c r="D3" s="3"/>
      <c r="E3" s="3"/>
      <c r="F3" s="3"/>
      <c r="G3" s="3"/>
      <c r="H3" s="3"/>
      <c r="I3" s="3"/>
      <c r="J3" s="3"/>
      <c r="K3" s="3"/>
      <c r="L3" s="3"/>
      <c r="M3" s="3"/>
      <c r="N3" s="3"/>
      <c r="O3" s="3"/>
      <c r="P3" s="3"/>
    </row>
    <row r="4" spans="2:16" ht="52" thickTop="1" x14ac:dyDescent="0.2">
      <c r="B4" s="328" t="s">
        <v>442</v>
      </c>
      <c r="C4" s="326" t="s">
        <v>542</v>
      </c>
      <c r="D4" s="3"/>
      <c r="E4" s="3"/>
      <c r="F4" s="3"/>
      <c r="G4" s="3"/>
      <c r="H4" s="3"/>
      <c r="I4" s="3"/>
      <c r="J4" s="3"/>
      <c r="K4" s="3"/>
      <c r="L4" s="3"/>
      <c r="M4" s="3"/>
      <c r="N4" s="3"/>
      <c r="O4" s="3"/>
      <c r="P4" s="3"/>
    </row>
    <row r="5" spans="2:16" x14ac:dyDescent="0.2">
      <c r="B5" s="192"/>
      <c r="C5" s="331"/>
      <c r="D5" s="3"/>
      <c r="E5" s="3"/>
      <c r="F5" s="3"/>
      <c r="G5" s="3"/>
      <c r="H5" s="3"/>
      <c r="I5" s="3"/>
      <c r="J5" s="3"/>
      <c r="K5" s="3"/>
      <c r="L5" s="3"/>
      <c r="M5" s="3"/>
      <c r="N5" s="3"/>
      <c r="O5" s="3"/>
      <c r="P5" s="3"/>
    </row>
    <row r="6" spans="2:16" ht="119" x14ac:dyDescent="0.2">
      <c r="B6" s="329" t="s">
        <v>554</v>
      </c>
      <c r="C6" s="326" t="s">
        <v>543</v>
      </c>
      <c r="D6" s="3"/>
      <c r="E6" s="3"/>
      <c r="F6" s="3"/>
      <c r="G6" s="3"/>
      <c r="H6" s="3"/>
      <c r="I6" s="3"/>
      <c r="J6" s="3"/>
      <c r="K6" s="3"/>
      <c r="L6" s="3"/>
      <c r="M6" s="3"/>
      <c r="N6" s="3"/>
      <c r="O6" s="3"/>
      <c r="P6" s="3"/>
    </row>
    <row r="7" spans="2:16" x14ac:dyDescent="0.2">
      <c r="B7" s="3"/>
      <c r="C7" s="331"/>
      <c r="D7" s="3"/>
      <c r="E7" s="3"/>
      <c r="F7" s="3"/>
      <c r="G7" s="3"/>
      <c r="H7" s="3"/>
      <c r="I7" s="3"/>
      <c r="J7" s="3"/>
      <c r="K7" s="3"/>
      <c r="L7" s="3"/>
      <c r="M7" s="3"/>
      <c r="N7" s="3"/>
      <c r="O7" s="3"/>
      <c r="P7" s="3"/>
    </row>
    <row r="8" spans="2:16" ht="102" x14ac:dyDescent="0.2">
      <c r="B8" s="498" t="s">
        <v>443</v>
      </c>
      <c r="C8" s="327" t="s">
        <v>555</v>
      </c>
      <c r="D8" s="3"/>
      <c r="E8" s="3"/>
      <c r="F8" s="3"/>
      <c r="G8" s="3"/>
      <c r="H8" s="3"/>
      <c r="I8" s="3"/>
      <c r="J8" s="3"/>
      <c r="K8" s="3"/>
      <c r="L8" s="3"/>
      <c r="M8" s="3"/>
      <c r="N8" s="3"/>
      <c r="O8" s="3"/>
      <c r="P8" s="3"/>
    </row>
    <row r="9" spans="2:16" ht="85" x14ac:dyDescent="0.2">
      <c r="B9" s="498"/>
      <c r="C9" s="327" t="s">
        <v>544</v>
      </c>
      <c r="D9" s="3"/>
      <c r="E9" s="3"/>
      <c r="F9" s="3"/>
      <c r="G9" s="3"/>
      <c r="H9" s="3"/>
      <c r="I9" s="3"/>
      <c r="J9" s="3"/>
      <c r="K9" s="3"/>
      <c r="L9" s="3"/>
      <c r="M9" s="3"/>
      <c r="N9" s="3"/>
      <c r="O9" s="3"/>
      <c r="P9" s="3"/>
    </row>
    <row r="10" spans="2:16" ht="7" customHeight="1" x14ac:dyDescent="0.2">
      <c r="B10" s="498"/>
      <c r="C10" s="331"/>
      <c r="D10" s="3"/>
      <c r="E10" s="3"/>
      <c r="F10" s="3"/>
      <c r="G10" s="3"/>
      <c r="H10" s="3"/>
      <c r="I10" s="3"/>
      <c r="J10" s="3"/>
      <c r="K10" s="3"/>
      <c r="L10" s="3"/>
      <c r="M10" s="3"/>
      <c r="N10" s="3"/>
      <c r="O10" s="3"/>
      <c r="P10" s="3"/>
    </row>
    <row r="11" spans="2:16" ht="68" x14ac:dyDescent="0.2">
      <c r="B11" s="498"/>
      <c r="C11" s="327" t="s">
        <v>556</v>
      </c>
      <c r="D11" s="3"/>
      <c r="E11" s="3"/>
      <c r="F11" s="3"/>
      <c r="G11" s="3"/>
      <c r="H11" s="3"/>
      <c r="I11" s="3"/>
      <c r="J11" s="3"/>
      <c r="K11" s="3"/>
      <c r="L11" s="3"/>
      <c r="M11" s="3"/>
      <c r="N11" s="3"/>
      <c r="O11" s="3"/>
      <c r="P11" s="3"/>
    </row>
    <row r="12" spans="2:16" x14ac:dyDescent="0.2">
      <c r="B12" s="3"/>
      <c r="C12" s="331"/>
      <c r="D12" s="3"/>
      <c r="E12" s="3"/>
      <c r="F12" s="3"/>
      <c r="G12" s="3"/>
      <c r="H12" s="3"/>
      <c r="I12" s="3"/>
      <c r="J12" s="3"/>
      <c r="K12" s="3"/>
      <c r="L12" s="3"/>
      <c r="M12" s="3"/>
      <c r="N12" s="3"/>
      <c r="O12" s="3"/>
      <c r="P12" s="3"/>
    </row>
    <row r="13" spans="2:16" ht="102" x14ac:dyDescent="0.2">
      <c r="B13" s="330" t="s">
        <v>444</v>
      </c>
      <c r="C13" s="327" t="s">
        <v>557</v>
      </c>
      <c r="D13" s="3"/>
      <c r="E13" s="3"/>
      <c r="F13" s="3"/>
      <c r="G13" s="3"/>
      <c r="H13" s="3"/>
      <c r="I13" s="3"/>
      <c r="J13" s="3"/>
      <c r="K13" s="3"/>
      <c r="L13" s="3"/>
      <c r="M13" s="3"/>
      <c r="N13" s="3"/>
      <c r="O13" s="3"/>
      <c r="P13" s="3"/>
    </row>
    <row r="14" spans="2:16" x14ac:dyDescent="0.2">
      <c r="B14" s="3"/>
      <c r="C14" s="331"/>
      <c r="D14" s="3"/>
      <c r="E14" s="3"/>
      <c r="F14" s="3"/>
      <c r="G14" s="3"/>
      <c r="H14" s="3"/>
      <c r="I14" s="3"/>
      <c r="J14" s="3"/>
      <c r="K14" s="3"/>
      <c r="L14" s="3"/>
      <c r="M14" s="3"/>
      <c r="N14" s="3"/>
      <c r="O14" s="3"/>
      <c r="P14" s="3"/>
    </row>
    <row r="15" spans="2:16" ht="51" x14ac:dyDescent="0.2">
      <c r="B15" s="330" t="s">
        <v>445</v>
      </c>
      <c r="C15" s="327" t="s">
        <v>558</v>
      </c>
      <c r="D15" s="3"/>
      <c r="E15" s="3"/>
      <c r="F15" s="3"/>
      <c r="G15" s="3"/>
      <c r="H15" s="3"/>
      <c r="I15" s="3"/>
      <c r="J15" s="3"/>
      <c r="K15" s="3"/>
      <c r="L15" s="3"/>
      <c r="M15" s="3"/>
      <c r="N15" s="3"/>
      <c r="O15" s="3"/>
      <c r="P15" s="3"/>
    </row>
    <row r="16" spans="2:16" x14ac:dyDescent="0.2">
      <c r="B16" s="3"/>
      <c r="C16" s="331"/>
      <c r="D16" s="3"/>
      <c r="E16" s="3"/>
      <c r="F16" s="3"/>
      <c r="G16" s="3"/>
      <c r="H16" s="3"/>
      <c r="I16" s="3"/>
      <c r="J16" s="3"/>
      <c r="K16" s="3"/>
      <c r="L16" s="3"/>
      <c r="M16" s="3"/>
      <c r="N16" s="3"/>
      <c r="O16" s="3"/>
      <c r="P16" s="3"/>
    </row>
    <row r="17" spans="2:16" ht="85" x14ac:dyDescent="0.2">
      <c r="B17" s="497" t="s">
        <v>446</v>
      </c>
      <c r="C17" s="327" t="s">
        <v>559</v>
      </c>
      <c r="D17" s="3"/>
      <c r="E17" s="3"/>
      <c r="F17" s="3"/>
      <c r="G17" s="3"/>
      <c r="H17" s="3"/>
      <c r="I17" s="3"/>
      <c r="J17" s="3"/>
      <c r="K17" s="3"/>
      <c r="L17" s="3"/>
      <c r="M17" s="3"/>
      <c r="N17" s="3"/>
      <c r="O17" s="3"/>
      <c r="P17" s="3"/>
    </row>
    <row r="18" spans="2:16" ht="34" x14ac:dyDescent="0.2">
      <c r="B18" s="497"/>
      <c r="C18" s="327" t="s">
        <v>538</v>
      </c>
      <c r="D18" s="3"/>
      <c r="E18" s="3"/>
      <c r="F18" s="3"/>
      <c r="G18" s="3"/>
      <c r="H18" s="3"/>
      <c r="I18" s="3"/>
      <c r="J18" s="3"/>
      <c r="K18" s="3"/>
      <c r="L18" s="3"/>
      <c r="M18" s="3"/>
      <c r="N18" s="3"/>
      <c r="O18" s="3"/>
      <c r="P18" s="3"/>
    </row>
    <row r="19" spans="2:16" x14ac:dyDescent="0.2">
      <c r="B19" s="3"/>
      <c r="C19" s="331"/>
      <c r="D19" s="3"/>
      <c r="E19" s="3"/>
      <c r="F19" s="3"/>
      <c r="G19" s="3"/>
      <c r="H19" s="3"/>
      <c r="I19" s="3"/>
      <c r="J19" s="3"/>
      <c r="K19" s="3"/>
      <c r="L19" s="3"/>
      <c r="M19" s="3"/>
      <c r="N19" s="3"/>
      <c r="O19" s="3"/>
      <c r="P19" s="3"/>
    </row>
    <row r="20" spans="2:16" ht="85" x14ac:dyDescent="0.2">
      <c r="B20" s="497" t="s">
        <v>447</v>
      </c>
      <c r="C20" s="327" t="s">
        <v>562</v>
      </c>
      <c r="D20" s="3"/>
      <c r="E20" s="3"/>
      <c r="F20" s="3"/>
      <c r="G20" s="3"/>
      <c r="H20" s="3"/>
      <c r="I20" s="3"/>
      <c r="J20" s="3"/>
      <c r="K20" s="3"/>
      <c r="L20" s="3"/>
      <c r="M20" s="3"/>
      <c r="N20" s="3"/>
      <c r="O20" s="3"/>
      <c r="P20" s="3"/>
    </row>
    <row r="21" spans="2:16" ht="34" x14ac:dyDescent="0.2">
      <c r="B21" s="497"/>
      <c r="C21" s="327" t="s">
        <v>539</v>
      </c>
      <c r="D21" s="3"/>
      <c r="E21" s="3"/>
      <c r="F21" s="3"/>
      <c r="G21" s="3"/>
      <c r="H21" s="3"/>
      <c r="I21" s="3"/>
      <c r="J21" s="3"/>
      <c r="K21" s="3"/>
      <c r="L21" s="3"/>
      <c r="M21" s="3"/>
      <c r="N21" s="3"/>
      <c r="O21" s="3"/>
      <c r="P21" s="3"/>
    </row>
    <row r="22" spans="2:16" x14ac:dyDescent="0.2">
      <c r="B22" s="3"/>
      <c r="C22" s="331"/>
      <c r="D22" s="3"/>
      <c r="E22" s="3"/>
      <c r="F22" s="3"/>
      <c r="G22" s="3"/>
      <c r="H22" s="3"/>
      <c r="I22" s="3"/>
      <c r="J22" s="3"/>
      <c r="K22" s="3"/>
      <c r="L22" s="3"/>
      <c r="M22" s="3"/>
      <c r="N22" s="3"/>
      <c r="O22" s="3"/>
      <c r="P22" s="3"/>
    </row>
    <row r="23" spans="2:16" ht="85" x14ac:dyDescent="0.2">
      <c r="B23" s="497" t="s">
        <v>448</v>
      </c>
      <c r="C23" s="332" t="s">
        <v>561</v>
      </c>
      <c r="D23" s="3"/>
      <c r="E23" s="3"/>
      <c r="F23" s="3"/>
      <c r="G23" s="3"/>
      <c r="H23" s="3"/>
      <c r="I23" s="3"/>
      <c r="J23" s="3"/>
      <c r="K23" s="3"/>
      <c r="L23" s="3"/>
      <c r="M23" s="3"/>
      <c r="N23" s="3"/>
      <c r="O23" s="3"/>
      <c r="P23" s="3"/>
    </row>
    <row r="24" spans="2:16" ht="34" x14ac:dyDescent="0.2">
      <c r="B24" s="497"/>
      <c r="C24" s="332" t="s">
        <v>540</v>
      </c>
      <c r="D24" s="3"/>
      <c r="E24" s="3"/>
      <c r="F24" s="3"/>
      <c r="G24" s="3"/>
      <c r="H24" s="3"/>
      <c r="I24" s="3"/>
      <c r="J24" s="3"/>
      <c r="K24" s="3"/>
      <c r="L24" s="3"/>
      <c r="M24" s="3"/>
      <c r="N24" s="3"/>
      <c r="O24" s="3"/>
      <c r="P24" s="3"/>
    </row>
    <row r="25" spans="2:16" x14ac:dyDescent="0.2">
      <c r="B25" s="3"/>
      <c r="C25" s="331"/>
      <c r="D25" s="3"/>
      <c r="E25" s="3"/>
      <c r="F25" s="3"/>
      <c r="G25" s="3"/>
      <c r="H25" s="3"/>
      <c r="I25" s="3"/>
      <c r="J25" s="3"/>
      <c r="K25" s="3"/>
      <c r="L25" s="3"/>
      <c r="M25" s="3"/>
      <c r="N25" s="3"/>
      <c r="O25" s="3"/>
      <c r="P25" s="3"/>
    </row>
    <row r="26" spans="2:16" ht="68" x14ac:dyDescent="0.2">
      <c r="B26" s="497" t="s">
        <v>449</v>
      </c>
      <c r="C26" s="327" t="s">
        <v>560</v>
      </c>
      <c r="D26" s="3"/>
      <c r="E26" s="3"/>
      <c r="F26" s="3"/>
      <c r="G26" s="3"/>
      <c r="H26" s="3"/>
      <c r="I26" s="3"/>
      <c r="J26" s="3"/>
      <c r="K26" s="3"/>
      <c r="L26" s="3"/>
      <c r="M26" s="3"/>
      <c r="N26" s="3"/>
      <c r="O26" s="3"/>
      <c r="P26" s="3"/>
    </row>
    <row r="27" spans="2:16" ht="17" x14ac:dyDescent="0.2">
      <c r="B27" s="497"/>
      <c r="C27" s="327" t="s">
        <v>563</v>
      </c>
      <c r="D27" s="3"/>
      <c r="E27" s="3"/>
      <c r="F27" s="3"/>
      <c r="G27" s="3"/>
      <c r="H27" s="3"/>
      <c r="I27" s="3"/>
      <c r="J27" s="3"/>
      <c r="K27" s="3"/>
      <c r="L27" s="3"/>
      <c r="M27" s="3"/>
      <c r="N27" s="3"/>
      <c r="O27" s="3"/>
      <c r="P27" s="3"/>
    </row>
    <row r="28" spans="2:16" x14ac:dyDescent="0.2">
      <c r="B28" s="3"/>
      <c r="C28" s="331"/>
      <c r="D28" s="3"/>
      <c r="E28" s="3"/>
      <c r="F28" s="3"/>
      <c r="G28" s="3"/>
      <c r="H28" s="3"/>
      <c r="I28" s="3"/>
      <c r="J28" s="3"/>
      <c r="K28" s="3"/>
      <c r="L28" s="3"/>
      <c r="M28" s="3"/>
      <c r="N28" s="3"/>
      <c r="O28" s="3"/>
      <c r="P28" s="3"/>
    </row>
    <row r="29" spans="2:16" ht="51" x14ac:dyDescent="0.2">
      <c r="B29" s="497" t="s">
        <v>450</v>
      </c>
      <c r="C29" s="327" t="s">
        <v>564</v>
      </c>
      <c r="D29" s="3"/>
      <c r="E29" s="3"/>
      <c r="F29" s="3"/>
      <c r="G29" s="3"/>
      <c r="H29" s="3"/>
      <c r="I29" s="3"/>
      <c r="J29" s="3"/>
      <c r="K29" s="3"/>
      <c r="L29" s="3"/>
      <c r="M29" s="3"/>
      <c r="N29" s="3"/>
      <c r="O29" s="3"/>
      <c r="P29" s="3"/>
    </row>
    <row r="30" spans="2:16" ht="17" x14ac:dyDescent="0.2">
      <c r="B30" s="497"/>
      <c r="C30" s="327" t="s">
        <v>565</v>
      </c>
      <c r="D30" s="3"/>
      <c r="E30" s="3"/>
      <c r="F30" s="3"/>
      <c r="G30" s="3"/>
      <c r="H30" s="3"/>
      <c r="I30" s="3"/>
      <c r="J30" s="3"/>
      <c r="K30" s="3"/>
      <c r="L30" s="3"/>
      <c r="M30" s="3"/>
      <c r="N30" s="3"/>
      <c r="O30" s="3"/>
      <c r="P30" s="3"/>
    </row>
    <row r="31" spans="2:16" x14ac:dyDescent="0.2">
      <c r="B31" s="3"/>
      <c r="C31" s="331"/>
      <c r="D31" s="3"/>
      <c r="E31" s="3"/>
      <c r="F31" s="3"/>
      <c r="G31" s="3"/>
      <c r="H31" s="3"/>
      <c r="I31" s="3"/>
      <c r="J31" s="3"/>
      <c r="K31" s="3"/>
      <c r="L31" s="3"/>
      <c r="M31" s="3"/>
      <c r="N31" s="3"/>
      <c r="O31" s="3"/>
      <c r="P31" s="3"/>
    </row>
    <row r="32" spans="2:16" x14ac:dyDescent="0.2">
      <c r="B32" s="3"/>
      <c r="C32" s="331"/>
      <c r="D32" s="3"/>
      <c r="E32" s="3"/>
      <c r="F32" s="3"/>
      <c r="G32" s="3"/>
      <c r="H32" s="3"/>
      <c r="I32" s="3"/>
      <c r="J32" s="3"/>
      <c r="K32" s="3"/>
      <c r="L32" s="3"/>
      <c r="M32" s="3"/>
      <c r="N32" s="3"/>
      <c r="O32" s="3"/>
      <c r="P32" s="3"/>
    </row>
    <row r="33" spans="2:16" x14ac:dyDescent="0.2">
      <c r="B33" s="3"/>
      <c r="C33" s="333"/>
      <c r="D33" s="3"/>
      <c r="E33" s="3"/>
      <c r="F33" s="3"/>
      <c r="G33" s="3"/>
      <c r="H33" s="3"/>
      <c r="I33" s="3"/>
      <c r="J33" s="3"/>
      <c r="K33" s="3"/>
      <c r="L33" s="3"/>
      <c r="M33" s="3"/>
      <c r="N33" s="3"/>
      <c r="O33" s="3"/>
      <c r="P33" s="3"/>
    </row>
    <row r="34" spans="2:16" x14ac:dyDescent="0.2">
      <c r="B34" s="3"/>
      <c r="C34" s="331"/>
      <c r="D34" s="3"/>
      <c r="E34" s="3"/>
      <c r="F34" s="3"/>
      <c r="G34" s="3"/>
      <c r="H34" s="3"/>
      <c r="I34" s="3"/>
      <c r="J34" s="3"/>
      <c r="K34" s="3"/>
      <c r="L34" s="3"/>
      <c r="M34" s="3"/>
      <c r="N34" s="3"/>
      <c r="O34" s="3"/>
      <c r="P34" s="3"/>
    </row>
    <row r="35" spans="2:16" x14ac:dyDescent="0.2">
      <c r="B35" s="3"/>
      <c r="C35" s="331"/>
      <c r="D35" s="3"/>
      <c r="E35" s="3"/>
      <c r="F35" s="3"/>
      <c r="G35" s="3"/>
      <c r="H35" s="3"/>
      <c r="I35" s="3"/>
      <c r="J35" s="3"/>
      <c r="K35" s="3"/>
      <c r="L35" s="3"/>
      <c r="M35" s="3"/>
      <c r="N35" s="3"/>
      <c r="O35" s="3"/>
      <c r="P35" s="3"/>
    </row>
    <row r="36" spans="2:16" x14ac:dyDescent="0.2">
      <c r="B36" s="3"/>
      <c r="C36" s="331"/>
      <c r="D36" s="3"/>
      <c r="E36" s="3"/>
      <c r="F36" s="3"/>
      <c r="G36" s="3"/>
      <c r="H36" s="3"/>
      <c r="I36" s="3"/>
      <c r="J36" s="3"/>
      <c r="K36" s="3"/>
      <c r="L36" s="3"/>
      <c r="M36" s="3"/>
      <c r="N36" s="3"/>
      <c r="O36" s="3"/>
      <c r="P36" s="3"/>
    </row>
    <row r="37" spans="2:16" x14ac:dyDescent="0.2">
      <c r="B37" s="3"/>
      <c r="C37" s="331"/>
      <c r="D37" s="3"/>
      <c r="E37" s="3"/>
      <c r="F37" s="3"/>
      <c r="G37" s="3"/>
      <c r="H37" s="3"/>
      <c r="I37" s="3"/>
      <c r="J37" s="3"/>
      <c r="K37" s="3"/>
      <c r="L37" s="3"/>
      <c r="M37" s="3"/>
      <c r="N37" s="3"/>
      <c r="O37" s="3"/>
      <c r="P37" s="3"/>
    </row>
    <row r="38" spans="2:16" x14ac:dyDescent="0.2">
      <c r="B38" s="3"/>
      <c r="C38" s="331"/>
      <c r="D38" s="3"/>
      <c r="E38" s="3"/>
      <c r="F38" s="3"/>
      <c r="G38" s="3"/>
      <c r="H38" s="3"/>
      <c r="I38" s="3"/>
      <c r="J38" s="3"/>
      <c r="K38" s="3"/>
      <c r="L38" s="3"/>
      <c r="M38" s="3"/>
      <c r="N38" s="3"/>
      <c r="O38" s="3"/>
      <c r="P38" s="3"/>
    </row>
    <row r="39" spans="2:16" x14ac:dyDescent="0.2">
      <c r="B39" s="3"/>
      <c r="C39" s="331"/>
      <c r="D39" s="3"/>
      <c r="E39" s="3"/>
      <c r="F39" s="3"/>
      <c r="G39" s="3"/>
      <c r="H39" s="3"/>
      <c r="I39" s="3"/>
      <c r="J39" s="3"/>
      <c r="K39" s="3"/>
      <c r="L39" s="3"/>
      <c r="M39" s="3"/>
      <c r="N39" s="3"/>
      <c r="O39" s="3"/>
      <c r="P39" s="3"/>
    </row>
    <row r="40" spans="2:16" x14ac:dyDescent="0.2">
      <c r="B40" s="3"/>
      <c r="C40" s="331"/>
      <c r="D40" s="3"/>
      <c r="E40" s="3"/>
      <c r="F40" s="3"/>
      <c r="G40" s="3"/>
      <c r="H40" s="3"/>
      <c r="I40" s="3"/>
      <c r="J40" s="3"/>
      <c r="K40" s="3"/>
      <c r="L40" s="3"/>
      <c r="M40" s="3"/>
      <c r="N40" s="3"/>
      <c r="O40" s="3"/>
      <c r="P40" s="3"/>
    </row>
    <row r="41" spans="2:16" x14ac:dyDescent="0.2">
      <c r="B41" s="3"/>
      <c r="C41" s="331"/>
      <c r="D41" s="3"/>
      <c r="E41" s="3"/>
      <c r="F41" s="3"/>
      <c r="G41" s="3"/>
      <c r="H41" s="3"/>
      <c r="I41" s="3"/>
      <c r="J41" s="3"/>
      <c r="K41" s="3"/>
      <c r="L41" s="3"/>
      <c r="M41" s="3"/>
      <c r="N41" s="3"/>
      <c r="O41" s="3"/>
      <c r="P41" s="3"/>
    </row>
    <row r="42" spans="2:16" x14ac:dyDescent="0.2">
      <c r="B42" s="3"/>
      <c r="C42" s="331"/>
      <c r="D42" s="3"/>
      <c r="E42" s="3"/>
      <c r="F42" s="3"/>
      <c r="G42" s="3"/>
      <c r="H42" s="3"/>
      <c r="I42" s="3"/>
      <c r="J42" s="3"/>
      <c r="K42" s="3"/>
      <c r="L42" s="3"/>
      <c r="M42" s="3"/>
      <c r="N42" s="3"/>
      <c r="O42" s="3"/>
      <c r="P42" s="3"/>
    </row>
    <row r="43" spans="2:16" x14ac:dyDescent="0.2">
      <c r="B43" s="3"/>
      <c r="C43" s="331"/>
      <c r="D43" s="3"/>
      <c r="E43" s="3"/>
      <c r="F43" s="3"/>
      <c r="G43" s="3"/>
      <c r="H43" s="3"/>
      <c r="I43" s="3"/>
      <c r="J43" s="3"/>
      <c r="K43" s="3"/>
      <c r="L43" s="3"/>
      <c r="M43" s="3"/>
      <c r="N43" s="3"/>
      <c r="O43" s="3"/>
      <c r="P43" s="3"/>
    </row>
    <row r="44" spans="2:16" x14ac:dyDescent="0.2">
      <c r="B44" s="3"/>
      <c r="C44" s="331"/>
      <c r="D44" s="3"/>
      <c r="E44" s="3"/>
      <c r="F44" s="3"/>
      <c r="G44" s="3"/>
      <c r="H44" s="3"/>
      <c r="I44" s="3"/>
      <c r="J44" s="3"/>
      <c r="K44" s="3"/>
      <c r="L44" s="3"/>
      <c r="M44" s="3"/>
      <c r="N44" s="3"/>
      <c r="O44" s="3"/>
      <c r="P44" s="3"/>
    </row>
    <row r="45" spans="2:16" x14ac:dyDescent="0.2">
      <c r="B45" s="3"/>
      <c r="C45" s="331"/>
      <c r="D45" s="3"/>
      <c r="E45" s="3"/>
      <c r="F45" s="3"/>
      <c r="G45" s="3"/>
      <c r="H45" s="3"/>
      <c r="I45" s="3"/>
      <c r="J45" s="3"/>
      <c r="K45" s="3"/>
      <c r="L45" s="3"/>
      <c r="M45" s="3"/>
      <c r="N45" s="3"/>
      <c r="O45" s="3"/>
      <c r="P45" s="3"/>
    </row>
    <row r="46" spans="2:16" x14ac:dyDescent="0.2">
      <c r="B46" s="3"/>
      <c r="C46" s="331"/>
      <c r="D46" s="3"/>
      <c r="E46" s="3"/>
      <c r="F46" s="3"/>
      <c r="G46" s="3"/>
      <c r="H46" s="3"/>
      <c r="I46" s="3"/>
      <c r="J46" s="3"/>
      <c r="K46" s="3"/>
      <c r="L46" s="3"/>
      <c r="M46" s="3"/>
      <c r="N46" s="3"/>
      <c r="O46" s="3"/>
      <c r="P46" s="3"/>
    </row>
    <row r="47" spans="2:16" x14ac:dyDescent="0.2">
      <c r="B47" s="3"/>
      <c r="C47" s="331"/>
      <c r="D47" s="3"/>
      <c r="E47" s="3"/>
      <c r="F47" s="3"/>
      <c r="G47" s="3"/>
      <c r="H47" s="3"/>
      <c r="I47" s="3"/>
      <c r="J47" s="3"/>
      <c r="K47" s="3"/>
      <c r="L47" s="3"/>
      <c r="M47" s="3"/>
      <c r="N47" s="3"/>
      <c r="O47" s="3"/>
      <c r="P47" s="3"/>
    </row>
    <row r="48" spans="2:16" x14ac:dyDescent="0.2">
      <c r="C48" s="333"/>
    </row>
    <row r="49" spans="3:3" x14ac:dyDescent="0.2">
      <c r="C49" s="333"/>
    </row>
    <row r="50" spans="3:3" x14ac:dyDescent="0.2">
      <c r="C50" s="333"/>
    </row>
    <row r="51" spans="3:3" x14ac:dyDescent="0.2">
      <c r="C51" s="333"/>
    </row>
    <row r="52" spans="3:3" x14ac:dyDescent="0.2">
      <c r="C52" s="333"/>
    </row>
    <row r="53" spans="3:3" x14ac:dyDescent="0.2">
      <c r="C53" s="333"/>
    </row>
    <row r="54" spans="3:3" x14ac:dyDescent="0.2">
      <c r="C54" s="333"/>
    </row>
    <row r="55" spans="3:3" x14ac:dyDescent="0.2">
      <c r="C55" s="333"/>
    </row>
    <row r="56" spans="3:3" x14ac:dyDescent="0.2">
      <c r="C56" s="333"/>
    </row>
    <row r="57" spans="3:3" x14ac:dyDescent="0.2">
      <c r="C57" s="333"/>
    </row>
    <row r="58" spans="3:3" x14ac:dyDescent="0.2">
      <c r="C58" s="333"/>
    </row>
    <row r="59" spans="3:3" x14ac:dyDescent="0.2">
      <c r="C59" s="333"/>
    </row>
    <row r="60" spans="3:3" x14ac:dyDescent="0.2">
      <c r="C60" s="333"/>
    </row>
    <row r="61" spans="3:3" x14ac:dyDescent="0.2">
      <c r="C61" s="333"/>
    </row>
    <row r="62" spans="3:3" x14ac:dyDescent="0.2">
      <c r="C62" s="333"/>
    </row>
    <row r="63" spans="3:3" x14ac:dyDescent="0.2">
      <c r="C63" s="333"/>
    </row>
    <row r="64" spans="3:3" x14ac:dyDescent="0.2">
      <c r="C64" s="333"/>
    </row>
    <row r="65" spans="3:3" x14ac:dyDescent="0.2">
      <c r="C65" s="333"/>
    </row>
    <row r="66" spans="3:3" x14ac:dyDescent="0.2">
      <c r="C66" s="333"/>
    </row>
    <row r="67" spans="3:3" x14ac:dyDescent="0.2">
      <c r="C67" s="333"/>
    </row>
    <row r="68" spans="3:3" x14ac:dyDescent="0.2">
      <c r="C68" s="333"/>
    </row>
    <row r="69" spans="3:3" x14ac:dyDescent="0.2">
      <c r="C69" s="333"/>
    </row>
    <row r="70" spans="3:3" x14ac:dyDescent="0.2">
      <c r="C70" s="333"/>
    </row>
    <row r="71" spans="3:3" x14ac:dyDescent="0.2">
      <c r="C71" s="333"/>
    </row>
    <row r="72" spans="3:3" x14ac:dyDescent="0.2">
      <c r="C72" s="333"/>
    </row>
    <row r="73" spans="3:3" x14ac:dyDescent="0.2">
      <c r="C73" s="333"/>
    </row>
    <row r="74" spans="3:3" x14ac:dyDescent="0.2">
      <c r="C74" s="333"/>
    </row>
    <row r="75" spans="3:3" x14ac:dyDescent="0.2">
      <c r="C75" s="333"/>
    </row>
    <row r="76" spans="3:3" x14ac:dyDescent="0.2">
      <c r="C76" s="333"/>
    </row>
    <row r="77" spans="3:3" x14ac:dyDescent="0.2">
      <c r="C77" s="333"/>
    </row>
    <row r="78" spans="3:3" x14ac:dyDescent="0.2">
      <c r="C78" s="333"/>
    </row>
    <row r="79" spans="3:3" x14ac:dyDescent="0.2">
      <c r="C79" s="333"/>
    </row>
    <row r="80" spans="3:3" x14ac:dyDescent="0.2">
      <c r="C80" s="333"/>
    </row>
  </sheetData>
  <sheetProtection algorithmName="SHA-512" hashValue="6NvwN7AfqjEfpuuPOxMDykxL4Ozu1p/FTgS02oyRp29crNQYAGVGlGPRR9NfM1YXZcPE/zyoD29HqyNPXAEOOQ==" saltValue="SZyBSq6+2wyOEyqYnfTH9Q==" spinCount="100000" sheet="1" objects="1" scenarios="1"/>
  <mergeCells count="6">
    <mergeCell ref="B29:B30"/>
    <mergeCell ref="B8:B11"/>
    <mergeCell ref="B17:B18"/>
    <mergeCell ref="B20:B21"/>
    <mergeCell ref="B23:B24"/>
    <mergeCell ref="B26:B2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48ED52-3F97-5C48-A633-3BD9A7F2BD95}">
  <sheetPr>
    <tabColor theme="5" tint="0.59999389629810485"/>
  </sheetPr>
  <dimension ref="C2:AN107"/>
  <sheetViews>
    <sheetView zoomScale="70" zoomScaleNormal="70" workbookViewId="0">
      <selection activeCell="AG7" sqref="AG7"/>
    </sheetView>
  </sheetViews>
  <sheetFormatPr baseColWidth="10" defaultRowHeight="16" x14ac:dyDescent="0.2"/>
  <cols>
    <col min="1" max="2" width="10.83203125" style="349"/>
    <col min="3" max="3" width="60.83203125" style="349" bestFit="1" customWidth="1"/>
    <col min="4" max="4" width="10.83203125" style="349"/>
    <col min="5" max="5" width="17.6640625" style="349" bestFit="1" customWidth="1"/>
    <col min="6" max="6" width="10.83203125" style="349"/>
    <col min="7" max="7" width="18.33203125" style="349" bestFit="1" customWidth="1"/>
    <col min="8" max="8" width="10.83203125" style="349"/>
    <col min="9" max="9" width="31.6640625" style="349" bestFit="1" customWidth="1"/>
    <col min="10" max="10" width="11.83203125" style="349" bestFit="1" customWidth="1"/>
    <col min="11" max="12" width="12.5" style="349" bestFit="1" customWidth="1"/>
    <col min="13" max="13" width="13.1640625" style="349" bestFit="1" customWidth="1"/>
    <col min="14" max="35" width="10.83203125" style="349"/>
    <col min="36" max="36" width="15.6640625" style="349" bestFit="1" customWidth="1"/>
    <col min="37" max="16384" width="10.83203125" style="349"/>
  </cols>
  <sheetData>
    <row r="2" spans="3:40" ht="17" thickBot="1" x14ac:dyDescent="0.25"/>
    <row r="3" spans="3:40" ht="22" thickBot="1" x14ac:dyDescent="0.3">
      <c r="C3" s="499" t="s">
        <v>404</v>
      </c>
      <c r="D3" s="500"/>
      <c r="E3" s="500"/>
      <c r="F3" s="500"/>
      <c r="G3" s="501"/>
      <c r="I3" s="506" t="s">
        <v>407</v>
      </c>
      <c r="J3" s="507"/>
      <c r="K3" s="507"/>
      <c r="L3" s="507"/>
      <c r="M3" s="508"/>
      <c r="AH3" s="434"/>
      <c r="AI3" s="434"/>
      <c r="AJ3" s="434"/>
      <c r="AK3" s="434"/>
      <c r="AL3" s="434"/>
      <c r="AM3" s="434"/>
      <c r="AN3" s="434"/>
    </row>
    <row r="4" spans="3:40" ht="22" thickTop="1" x14ac:dyDescent="0.25">
      <c r="C4" s="502" t="s">
        <v>0</v>
      </c>
      <c r="D4" s="503"/>
      <c r="E4" s="503"/>
      <c r="F4" s="503"/>
      <c r="G4" s="504"/>
      <c r="I4" s="350"/>
      <c r="J4" s="505" t="s">
        <v>409</v>
      </c>
      <c r="K4" s="505"/>
      <c r="L4" s="505"/>
      <c r="M4" s="351" t="s">
        <v>410</v>
      </c>
      <c r="AH4" s="434"/>
      <c r="AI4" s="434"/>
      <c r="AJ4" s="434"/>
      <c r="AK4" s="434"/>
      <c r="AL4" s="434"/>
      <c r="AM4" s="434"/>
      <c r="AN4" s="434"/>
    </row>
    <row r="5" spans="3:40" ht="21" x14ac:dyDescent="0.25">
      <c r="C5" s="352"/>
      <c r="D5" s="353"/>
      <c r="E5" s="354" t="s">
        <v>514</v>
      </c>
      <c r="F5" s="355"/>
      <c r="G5" s="356" t="s">
        <v>475</v>
      </c>
      <c r="I5" s="357" t="s">
        <v>115</v>
      </c>
      <c r="J5" s="358">
        <v>1</v>
      </c>
      <c r="K5" s="358">
        <v>2</v>
      </c>
      <c r="L5" s="358">
        <v>3</v>
      </c>
      <c r="M5" s="359" t="s">
        <v>405</v>
      </c>
      <c r="AH5" s="434"/>
      <c r="AI5" s="434"/>
      <c r="AJ5" s="434"/>
      <c r="AK5" s="434"/>
      <c r="AL5" s="434"/>
      <c r="AM5" s="434"/>
      <c r="AN5" s="434"/>
    </row>
    <row r="6" spans="3:40" x14ac:dyDescent="0.2">
      <c r="C6" s="360" t="s">
        <v>1</v>
      </c>
      <c r="D6" s="361"/>
      <c r="E6" s="362">
        <v>24</v>
      </c>
      <c r="F6" s="361" t="s">
        <v>7</v>
      </c>
      <c r="G6" s="408"/>
      <c r="I6" s="363" t="s">
        <v>527</v>
      </c>
      <c r="J6" s="355">
        <v>0</v>
      </c>
      <c r="K6" s="355">
        <v>0</v>
      </c>
      <c r="L6" s="355">
        <v>2</v>
      </c>
      <c r="M6" s="364">
        <v>4</v>
      </c>
      <c r="AH6" s="434"/>
      <c r="AI6" s="434"/>
      <c r="AJ6" s="434" t="s">
        <v>492</v>
      </c>
      <c r="AK6" s="434"/>
      <c r="AL6" s="434"/>
      <c r="AM6" s="435">
        <v>0</v>
      </c>
      <c r="AN6" s="434"/>
    </row>
    <row r="7" spans="3:40" x14ac:dyDescent="0.2">
      <c r="C7" s="360" t="s">
        <v>2</v>
      </c>
      <c r="D7" s="361"/>
      <c r="E7" s="362">
        <v>20</v>
      </c>
      <c r="F7" s="361" t="s">
        <v>7</v>
      </c>
      <c r="G7" s="409"/>
      <c r="I7" s="365" t="s">
        <v>526</v>
      </c>
      <c r="J7" s="410"/>
      <c r="K7" s="411"/>
      <c r="L7" s="410"/>
      <c r="M7" s="412"/>
      <c r="AH7" s="434"/>
      <c r="AI7" s="434"/>
      <c r="AJ7" s="434" t="s">
        <v>459</v>
      </c>
      <c r="AK7" s="434"/>
      <c r="AL7" s="434"/>
      <c r="AM7" s="435">
        <v>0.01</v>
      </c>
      <c r="AN7" s="434"/>
    </row>
    <row r="8" spans="3:40" x14ac:dyDescent="0.2">
      <c r="C8" s="360" t="s">
        <v>3</v>
      </c>
      <c r="D8" s="361"/>
      <c r="E8" s="362">
        <v>9</v>
      </c>
      <c r="F8" s="361" t="s">
        <v>15</v>
      </c>
      <c r="G8" s="408"/>
      <c r="I8" s="363" t="s">
        <v>502</v>
      </c>
      <c r="J8" s="361"/>
      <c r="K8" s="361"/>
      <c r="L8" s="366">
        <v>2200</v>
      </c>
      <c r="M8" s="367" t="s">
        <v>471</v>
      </c>
      <c r="AH8" s="434"/>
      <c r="AI8" s="434"/>
      <c r="AJ8" s="434" t="s">
        <v>460</v>
      </c>
      <c r="AK8" s="434"/>
      <c r="AL8" s="434"/>
      <c r="AM8" s="435">
        <v>0.02</v>
      </c>
      <c r="AN8" s="434"/>
    </row>
    <row r="9" spans="3:40" ht="17" thickBot="1" x14ac:dyDescent="0.25">
      <c r="C9" s="360" t="s">
        <v>4</v>
      </c>
      <c r="D9" s="361"/>
      <c r="E9" s="362">
        <v>4</v>
      </c>
      <c r="F9" s="361" t="s">
        <v>15</v>
      </c>
      <c r="G9" s="409"/>
      <c r="I9" s="368" t="s">
        <v>501</v>
      </c>
      <c r="J9" s="369"/>
      <c r="K9" s="369"/>
      <c r="L9" s="413"/>
      <c r="M9" s="370" t="s">
        <v>471</v>
      </c>
      <c r="AH9" s="434"/>
      <c r="AI9" s="434"/>
      <c r="AJ9" s="434"/>
      <c r="AK9" s="434"/>
      <c r="AL9" s="434"/>
      <c r="AM9" s="435">
        <v>0.03</v>
      </c>
      <c r="AN9" s="434"/>
    </row>
    <row r="10" spans="3:40" ht="17" thickTop="1" x14ac:dyDescent="0.2">
      <c r="C10" s="360" t="s">
        <v>5</v>
      </c>
      <c r="D10" s="361"/>
      <c r="E10" s="371">
        <f>43560/(E8*E9)</f>
        <v>1210</v>
      </c>
      <c r="F10" s="361" t="s">
        <v>16</v>
      </c>
      <c r="G10" s="414">
        <f>43560/(IF(ISBLANK(G8),E8,G8)*IF(ISBLANK(G9),E9,G9))</f>
        <v>1210</v>
      </c>
      <c r="I10" s="363" t="s">
        <v>115</v>
      </c>
      <c r="J10" s="355">
        <v>1</v>
      </c>
      <c r="K10" s="355">
        <v>2</v>
      </c>
      <c r="L10" s="355">
        <v>3</v>
      </c>
      <c r="M10" s="364" t="s">
        <v>405</v>
      </c>
      <c r="AH10" s="434"/>
      <c r="AI10" s="434"/>
      <c r="AJ10" s="434" t="s">
        <v>492</v>
      </c>
      <c r="AK10" s="434"/>
      <c r="AL10" s="434"/>
      <c r="AM10" s="435">
        <v>0.04</v>
      </c>
      <c r="AN10" s="434"/>
    </row>
    <row r="11" spans="3:40" ht="17" thickBot="1" x14ac:dyDescent="0.25">
      <c r="C11" s="360" t="s">
        <v>6</v>
      </c>
      <c r="D11" s="361"/>
      <c r="E11" s="362">
        <v>11</v>
      </c>
      <c r="F11" s="361" t="s">
        <v>17</v>
      </c>
      <c r="G11" s="409"/>
      <c r="I11" s="372" t="s">
        <v>406</v>
      </c>
      <c r="J11" s="373">
        <f>(IF(ISBLANK(J7),J6,J7))*(IF(ISBLANK(L9),L8,L9))</f>
        <v>0</v>
      </c>
      <c r="K11" s="373">
        <f>(IF(ISBLANK(K7),K6,K7))*(IF(ISBLANK(L9),L8,L9))</f>
        <v>0</v>
      </c>
      <c r="L11" s="373">
        <f>IF(ISBLANK(L7),L6,L7)*(IF(ISBLANK(L9),L8,L9))</f>
        <v>4400</v>
      </c>
      <c r="M11" s="374">
        <f>IF(ISBLANK(M7),M6,M7)*(IF(ISBLANK(L9),L8,L9))</f>
        <v>8800</v>
      </c>
      <c r="AH11" s="434"/>
      <c r="AI11" s="434"/>
      <c r="AJ11" s="434" t="s">
        <v>515</v>
      </c>
      <c r="AK11" s="434"/>
      <c r="AL11" s="434"/>
      <c r="AM11" s="435">
        <v>0.05</v>
      </c>
      <c r="AN11" s="434"/>
    </row>
    <row r="12" spans="3:40" x14ac:dyDescent="0.2">
      <c r="C12" s="360" t="s">
        <v>458</v>
      </c>
      <c r="D12" s="361"/>
      <c r="E12" s="375" t="str">
        <f>IF(G12="Yes","Yes","No")</f>
        <v>No</v>
      </c>
      <c r="F12" s="361"/>
      <c r="G12" s="295" t="s">
        <v>492</v>
      </c>
      <c r="I12" s="376"/>
      <c r="J12" s="377"/>
      <c r="K12" s="377"/>
      <c r="L12" s="377"/>
      <c r="M12" s="377"/>
      <c r="AH12" s="434"/>
      <c r="AI12" s="434"/>
      <c r="AJ12" s="434" t="s">
        <v>512</v>
      </c>
      <c r="AK12" s="434"/>
      <c r="AL12" s="434"/>
      <c r="AM12" s="435">
        <v>0.06</v>
      </c>
      <c r="AN12" s="434"/>
    </row>
    <row r="13" spans="3:40" x14ac:dyDescent="0.2">
      <c r="C13" s="363" t="s">
        <v>461</v>
      </c>
      <c r="D13" s="361"/>
      <c r="E13" s="371">
        <f>IF(G12="Yes",E7*834,0)</f>
        <v>0</v>
      </c>
      <c r="F13" s="361" t="s">
        <v>15</v>
      </c>
      <c r="G13" s="409"/>
      <c r="I13" s="376"/>
      <c r="J13" s="377"/>
      <c r="K13" s="377"/>
      <c r="L13" s="377"/>
      <c r="M13" s="377"/>
      <c r="AH13" s="434"/>
      <c r="AI13" s="434"/>
      <c r="AJ13" s="434" t="s">
        <v>513</v>
      </c>
      <c r="AK13" s="434"/>
      <c r="AL13" s="434"/>
      <c r="AM13" s="435">
        <v>7.0000000000000007E-2</v>
      </c>
      <c r="AN13" s="434"/>
    </row>
    <row r="14" spans="3:40" x14ac:dyDescent="0.2">
      <c r="C14" s="378" t="s">
        <v>466</v>
      </c>
      <c r="D14" s="361"/>
      <c r="E14" s="379">
        <f>IF(G12="Yes",8,0)</f>
        <v>0</v>
      </c>
      <c r="F14" s="361" t="s">
        <v>470</v>
      </c>
      <c r="G14" s="415"/>
      <c r="I14" s="376"/>
      <c r="J14" s="377"/>
      <c r="K14" s="377"/>
      <c r="L14" s="377"/>
      <c r="M14" s="377"/>
      <c r="AH14" s="434"/>
      <c r="AI14" s="434"/>
      <c r="AJ14" s="434"/>
      <c r="AK14" s="434"/>
      <c r="AL14" s="434"/>
      <c r="AM14" s="435">
        <v>0.08</v>
      </c>
      <c r="AN14" s="434"/>
    </row>
    <row r="15" spans="3:40" x14ac:dyDescent="0.2">
      <c r="C15" s="360" t="s">
        <v>505</v>
      </c>
      <c r="D15" s="361"/>
      <c r="E15" s="375" t="s">
        <v>459</v>
      </c>
      <c r="F15" s="361"/>
      <c r="G15" s="416" t="s">
        <v>492</v>
      </c>
      <c r="I15" s="376"/>
      <c r="J15" s="377"/>
      <c r="K15" s="377"/>
      <c r="L15" s="377"/>
      <c r="M15" s="377"/>
      <c r="AH15" s="434"/>
      <c r="AI15" s="434"/>
      <c r="AJ15" s="434"/>
      <c r="AK15" s="434"/>
      <c r="AL15" s="434"/>
      <c r="AM15" s="435">
        <v>0.09</v>
      </c>
      <c r="AN15" s="434"/>
    </row>
    <row r="16" spans="3:40" ht="17" thickBot="1" x14ac:dyDescent="0.25">
      <c r="C16" s="360" t="s">
        <v>520</v>
      </c>
      <c r="D16" s="361"/>
      <c r="E16" s="375" t="s">
        <v>459</v>
      </c>
      <c r="F16" s="361"/>
      <c r="G16" s="295" t="s">
        <v>492</v>
      </c>
      <c r="O16" s="380"/>
      <c r="AH16" s="434"/>
      <c r="AI16" s="434"/>
      <c r="AJ16" s="434"/>
      <c r="AK16" s="434"/>
      <c r="AL16" s="434"/>
      <c r="AM16" s="435">
        <v>0.1</v>
      </c>
      <c r="AN16" s="434"/>
    </row>
    <row r="17" spans="3:40" ht="22" thickBot="1" x14ac:dyDescent="0.3">
      <c r="C17" s="372" t="s">
        <v>521</v>
      </c>
      <c r="D17" s="401"/>
      <c r="E17" s="403">
        <v>70</v>
      </c>
      <c r="F17" s="401" t="s">
        <v>522</v>
      </c>
      <c r="G17" s="417">
        <f>IF(G16="Yes",E17,0)</f>
        <v>0</v>
      </c>
      <c r="I17" s="506" t="s">
        <v>431</v>
      </c>
      <c r="J17" s="507"/>
      <c r="K17" s="507"/>
      <c r="L17" s="507"/>
      <c r="M17" s="507"/>
      <c r="N17" s="508"/>
      <c r="O17" s="380"/>
      <c r="AH17" s="434"/>
      <c r="AI17" s="434"/>
      <c r="AJ17" s="434"/>
      <c r="AK17" s="434"/>
      <c r="AL17" s="434"/>
      <c r="AM17" s="435">
        <v>0.11</v>
      </c>
      <c r="AN17" s="434"/>
    </row>
    <row r="18" spans="3:40" ht="21" x14ac:dyDescent="0.25">
      <c r="C18" s="515" t="s">
        <v>8</v>
      </c>
      <c r="D18" s="516"/>
      <c r="E18" s="516"/>
      <c r="F18" s="516"/>
      <c r="G18" s="517"/>
      <c r="I18" s="381" t="s">
        <v>115</v>
      </c>
      <c r="J18" s="382" t="s">
        <v>427</v>
      </c>
      <c r="K18" s="382">
        <v>1</v>
      </c>
      <c r="L18" s="382">
        <v>2</v>
      </c>
      <c r="M18" s="382">
        <v>3</v>
      </c>
      <c r="N18" s="383" t="s">
        <v>405</v>
      </c>
      <c r="O18" s="380"/>
      <c r="P18" s="380"/>
      <c r="Q18" s="380"/>
      <c r="AH18" s="434"/>
      <c r="AI18" s="434"/>
      <c r="AJ18" s="434"/>
      <c r="AK18" s="434"/>
      <c r="AL18" s="434"/>
      <c r="AM18" s="435">
        <v>0.12</v>
      </c>
      <c r="AN18" s="434"/>
    </row>
    <row r="19" spans="3:40" x14ac:dyDescent="0.2">
      <c r="C19" s="360" t="s">
        <v>9</v>
      </c>
      <c r="D19" s="361"/>
      <c r="E19" s="379">
        <v>23</v>
      </c>
      <c r="F19" s="361" t="s">
        <v>13</v>
      </c>
      <c r="G19" s="418"/>
      <c r="I19" s="381" t="s">
        <v>424</v>
      </c>
      <c r="J19" s="419">
        <v>0</v>
      </c>
      <c r="K19" s="420">
        <f>'Ex. Spray Program'!S7</f>
        <v>90.738124999999997</v>
      </c>
      <c r="L19" s="421">
        <f>'Ex. Spray Program'!S16</f>
        <v>120.98416666666667</v>
      </c>
      <c r="M19" s="420">
        <f>'Ex. Spray Program'!S28</f>
        <v>174.77151041666667</v>
      </c>
      <c r="N19" s="422">
        <f>'Ex. Spray Program'!I50</f>
        <v>507.96040625000001</v>
      </c>
      <c r="O19" s="384"/>
      <c r="P19" s="380"/>
      <c r="Q19" s="380"/>
      <c r="AH19" s="434"/>
      <c r="AI19" s="434"/>
      <c r="AJ19" s="434"/>
      <c r="AK19" s="434"/>
      <c r="AL19" s="434"/>
      <c r="AM19" s="435">
        <v>0.13</v>
      </c>
      <c r="AN19" s="434"/>
    </row>
    <row r="20" spans="3:40" x14ac:dyDescent="0.2">
      <c r="C20" s="360" t="s">
        <v>10</v>
      </c>
      <c r="D20" s="361"/>
      <c r="E20" s="379">
        <v>17.5</v>
      </c>
      <c r="F20" s="361" t="s">
        <v>13</v>
      </c>
      <c r="G20" s="415"/>
      <c r="I20" s="509" t="s">
        <v>428</v>
      </c>
      <c r="J20" s="510"/>
      <c r="K20" s="510"/>
      <c r="L20" s="510"/>
      <c r="M20" s="510"/>
      <c r="N20" s="511"/>
      <c r="O20" s="380"/>
      <c r="P20" s="380"/>
      <c r="Q20" s="380"/>
      <c r="AH20" s="434"/>
      <c r="AI20" s="434"/>
      <c r="AJ20" s="434"/>
      <c r="AK20" s="434"/>
      <c r="AL20" s="434"/>
      <c r="AM20" s="435">
        <v>0.14000000000000001</v>
      </c>
      <c r="AN20" s="434"/>
    </row>
    <row r="21" spans="3:40" x14ac:dyDescent="0.2">
      <c r="C21" s="360" t="s">
        <v>11</v>
      </c>
      <c r="D21" s="361"/>
      <c r="E21" s="379">
        <v>2.9</v>
      </c>
      <c r="F21" s="361" t="s">
        <v>14</v>
      </c>
      <c r="G21" s="418"/>
      <c r="I21" s="381" t="s">
        <v>425</v>
      </c>
      <c r="J21" s="421">
        <f>'Ex. Herbidcide Program'!K6</f>
        <v>22.45966</v>
      </c>
      <c r="K21" s="420">
        <f>'Ex. Herbidcide Program'!K8</f>
        <v>41.489660000000001</v>
      </c>
      <c r="L21" s="421">
        <f>'Ex. Herbidcide Program'!K11</f>
        <v>100.88932</v>
      </c>
      <c r="M21" s="420">
        <f>'Ex. Herbidcide Program'!K16</f>
        <v>100.88932</v>
      </c>
      <c r="N21" s="422">
        <f>'Ex. Herbidcide Program'!K21</f>
        <v>47.102784999999997</v>
      </c>
      <c r="O21" s="380"/>
      <c r="P21" s="384"/>
      <c r="Q21" s="380"/>
      <c r="AH21" s="434"/>
      <c r="AI21" s="434"/>
      <c r="AJ21" s="434"/>
      <c r="AK21" s="434"/>
      <c r="AL21" s="434"/>
      <c r="AM21" s="435">
        <v>0.15</v>
      </c>
      <c r="AN21" s="434"/>
    </row>
    <row r="22" spans="3:40" ht="17" thickBot="1" x14ac:dyDescent="0.25">
      <c r="C22" s="400" t="s">
        <v>12</v>
      </c>
      <c r="D22" s="401"/>
      <c r="E22" s="403">
        <v>3.1</v>
      </c>
      <c r="F22" s="401" t="s">
        <v>14</v>
      </c>
      <c r="G22" s="423"/>
      <c r="I22" s="509" t="s">
        <v>429</v>
      </c>
      <c r="J22" s="510"/>
      <c r="K22" s="510"/>
      <c r="L22" s="510"/>
      <c r="M22" s="510"/>
      <c r="N22" s="511"/>
      <c r="O22" s="384"/>
      <c r="P22" s="380"/>
      <c r="Q22" s="380"/>
      <c r="AH22" s="434"/>
      <c r="AI22" s="434"/>
      <c r="AJ22" s="434"/>
      <c r="AK22" s="434"/>
      <c r="AL22" s="434"/>
      <c r="AM22" s="435">
        <v>0.16</v>
      </c>
      <c r="AN22" s="434"/>
    </row>
    <row r="23" spans="3:40" ht="21" x14ac:dyDescent="0.25">
      <c r="C23" s="515" t="s">
        <v>18</v>
      </c>
      <c r="D23" s="516"/>
      <c r="E23" s="516"/>
      <c r="F23" s="516"/>
      <c r="G23" s="517"/>
      <c r="I23" s="381" t="s">
        <v>426</v>
      </c>
      <c r="J23" s="421">
        <f>'Ex. Fertilizer Program'!G6</f>
        <v>176.5</v>
      </c>
      <c r="K23" s="420">
        <f>'Ex. Fertilizer Program'!G9</f>
        <v>309.73500000000001</v>
      </c>
      <c r="L23" s="421">
        <f>'Ex. Fertilizer Program'!G11</f>
        <v>9.7349999999999994</v>
      </c>
      <c r="M23" s="420">
        <f>'Ex. Fertilizer Program'!G12</f>
        <v>148.84220000000002</v>
      </c>
      <c r="N23" s="422">
        <f>'Ex. Fertilizer Program'!G12</f>
        <v>148.84220000000002</v>
      </c>
      <c r="O23" s="385"/>
      <c r="P23" s="380"/>
      <c r="Q23" s="380"/>
      <c r="AH23" s="434"/>
      <c r="AI23" s="434"/>
      <c r="AJ23" s="434"/>
      <c r="AK23" s="434"/>
      <c r="AL23" s="434"/>
      <c r="AM23" s="435">
        <v>0.17</v>
      </c>
      <c r="AN23" s="434"/>
    </row>
    <row r="24" spans="3:40" ht="17" thickBot="1" x14ac:dyDescent="0.25">
      <c r="C24" s="360" t="s">
        <v>19</v>
      </c>
      <c r="D24" s="361"/>
      <c r="E24" s="379">
        <v>1.1000000000000001</v>
      </c>
      <c r="F24" s="361" t="s">
        <v>22</v>
      </c>
      <c r="G24" s="418"/>
      <c r="I24" s="512" t="s">
        <v>430</v>
      </c>
      <c r="J24" s="513"/>
      <c r="K24" s="513"/>
      <c r="L24" s="513"/>
      <c r="M24" s="513"/>
      <c r="N24" s="514"/>
      <c r="O24" s="380"/>
      <c r="P24" s="384"/>
      <c r="Q24" s="380"/>
      <c r="AH24" s="434"/>
      <c r="AI24" s="434"/>
      <c r="AJ24" s="434"/>
      <c r="AK24" s="434"/>
      <c r="AL24" s="434"/>
      <c r="AM24" s="435">
        <v>0.18</v>
      </c>
      <c r="AN24" s="434"/>
    </row>
    <row r="25" spans="3:40" ht="21" x14ac:dyDescent="0.25">
      <c r="C25" s="360" t="s">
        <v>20</v>
      </c>
      <c r="D25" s="361"/>
      <c r="E25" s="379">
        <v>4.25</v>
      </c>
      <c r="F25" s="361" t="s">
        <v>22</v>
      </c>
      <c r="G25" s="415"/>
      <c r="I25" s="386"/>
      <c r="J25" s="380"/>
      <c r="K25" s="384"/>
      <c r="L25" s="384"/>
      <c r="M25" s="380"/>
      <c r="N25" s="380"/>
      <c r="O25" s="387"/>
      <c r="P25" s="380"/>
      <c r="Q25" s="380"/>
      <c r="AH25" s="434"/>
      <c r="AI25" s="434"/>
      <c r="AJ25" s="434"/>
      <c r="AK25" s="434"/>
      <c r="AL25" s="434"/>
      <c r="AM25" s="435">
        <v>0.19</v>
      </c>
      <c r="AN25" s="434"/>
    </row>
    <row r="26" spans="3:40" ht="22" thickBot="1" x14ac:dyDescent="0.3">
      <c r="C26" s="400" t="s">
        <v>21</v>
      </c>
      <c r="D26" s="401"/>
      <c r="E26" s="404">
        <v>0.02</v>
      </c>
      <c r="F26" s="401" t="s">
        <v>23</v>
      </c>
      <c r="G26" s="424"/>
      <c r="J26" s="380"/>
      <c r="K26" s="380"/>
      <c r="L26" s="380"/>
      <c r="M26" s="380"/>
      <c r="N26" s="380"/>
      <c r="O26" s="388"/>
      <c r="P26" s="380"/>
      <c r="Q26" s="380"/>
      <c r="AH26" s="434"/>
      <c r="AI26" s="434"/>
      <c r="AJ26" s="434"/>
      <c r="AK26" s="434"/>
      <c r="AL26" s="434"/>
      <c r="AM26" s="435">
        <v>0.2</v>
      </c>
      <c r="AN26" s="434"/>
    </row>
    <row r="27" spans="3:40" ht="21" x14ac:dyDescent="0.25">
      <c r="C27" s="515" t="s">
        <v>24</v>
      </c>
      <c r="D27" s="516"/>
      <c r="E27" s="516"/>
      <c r="F27" s="516"/>
      <c r="G27" s="517"/>
      <c r="J27" s="380"/>
      <c r="K27" s="387"/>
      <c r="L27" s="387"/>
      <c r="M27" s="387"/>
      <c r="N27" s="387"/>
      <c r="O27" s="388"/>
      <c r="P27" s="387"/>
      <c r="Q27" s="380"/>
      <c r="AH27" s="434"/>
      <c r="AI27" s="434"/>
      <c r="AJ27" s="434"/>
      <c r="AK27" s="434"/>
      <c r="AL27" s="434"/>
      <c r="AM27" s="435">
        <v>0.21</v>
      </c>
      <c r="AN27" s="434"/>
    </row>
    <row r="28" spans="3:40" ht="21" x14ac:dyDescent="0.25">
      <c r="C28" s="389" t="s">
        <v>511</v>
      </c>
      <c r="D28" s="390"/>
      <c r="E28" s="390" t="s">
        <v>512</v>
      </c>
      <c r="F28" s="390"/>
      <c r="G28" s="425" t="s">
        <v>512</v>
      </c>
      <c r="I28" s="391"/>
      <c r="J28" s="380"/>
      <c r="K28" s="388"/>
      <c r="L28" s="388"/>
      <c r="M28" s="388"/>
      <c r="N28" s="388"/>
      <c r="O28" s="392"/>
      <c r="P28" s="388"/>
      <c r="Q28" s="380"/>
      <c r="AH28" s="434"/>
      <c r="AI28" s="434"/>
      <c r="AJ28" s="434"/>
      <c r="AK28" s="434"/>
      <c r="AL28" s="434"/>
      <c r="AM28" s="435">
        <v>0.22</v>
      </c>
      <c r="AN28" s="434"/>
    </row>
    <row r="29" spans="3:40" ht="21" x14ac:dyDescent="0.25">
      <c r="C29" s="360" t="s">
        <v>516</v>
      </c>
      <c r="D29" s="361"/>
      <c r="E29" s="393">
        <v>95</v>
      </c>
      <c r="F29" s="394" t="s">
        <v>27</v>
      </c>
      <c r="G29" s="426"/>
      <c r="J29" s="380"/>
      <c r="K29" s="388"/>
      <c r="L29" s="388"/>
      <c r="M29" s="388"/>
      <c r="N29" s="388"/>
      <c r="O29" s="392"/>
      <c r="P29" s="388"/>
      <c r="Q29" s="380"/>
      <c r="AH29" s="434"/>
      <c r="AI29" s="434"/>
      <c r="AJ29" s="434"/>
      <c r="AK29" s="434"/>
      <c r="AL29" s="434"/>
      <c r="AM29" s="435">
        <v>0.23</v>
      </c>
      <c r="AN29" s="434"/>
    </row>
    <row r="30" spans="3:40" ht="21" customHeight="1" x14ac:dyDescent="0.2">
      <c r="C30" s="360" t="s">
        <v>517</v>
      </c>
      <c r="D30" s="361"/>
      <c r="E30" s="395">
        <v>1</v>
      </c>
      <c r="F30" s="394"/>
      <c r="G30" s="427">
        <f>IF(G28="Hand Harvest",0,IF(G28="Machine Harvest",AM106,IF(G28="Combination of Both",AM56,0)))</f>
        <v>1</v>
      </c>
      <c r="J30" s="380"/>
      <c r="K30" s="380"/>
      <c r="L30" s="380"/>
      <c r="M30" s="396"/>
      <c r="N30" s="396"/>
      <c r="O30" s="380"/>
      <c r="P30" s="396"/>
      <c r="Q30" s="380"/>
      <c r="AH30" s="434"/>
      <c r="AI30" s="434"/>
      <c r="AJ30" s="434"/>
      <c r="AK30" s="434"/>
      <c r="AL30" s="434"/>
      <c r="AM30" s="435">
        <v>0.24</v>
      </c>
      <c r="AN30" s="434"/>
    </row>
    <row r="31" spans="3:40" ht="19" customHeight="1" x14ac:dyDescent="0.2">
      <c r="C31" s="360" t="s">
        <v>26</v>
      </c>
      <c r="D31" s="361"/>
      <c r="E31" s="393">
        <v>300</v>
      </c>
      <c r="F31" s="394" t="s">
        <v>27</v>
      </c>
      <c r="G31" s="426"/>
      <c r="J31" s="380"/>
      <c r="K31" s="380"/>
      <c r="L31" s="380"/>
      <c r="M31" s="392"/>
      <c r="N31" s="392"/>
      <c r="P31" s="392"/>
      <c r="Q31" s="380"/>
      <c r="AH31" s="434"/>
      <c r="AI31" s="434"/>
      <c r="AJ31" s="434"/>
      <c r="AK31" s="434"/>
      <c r="AL31" s="434"/>
      <c r="AM31" s="435">
        <v>0.25</v>
      </c>
      <c r="AN31" s="434"/>
    </row>
    <row r="32" spans="3:40" x14ac:dyDescent="0.2">
      <c r="C32" s="360" t="s">
        <v>518</v>
      </c>
      <c r="D32" s="361"/>
      <c r="E32" s="395">
        <v>0</v>
      </c>
      <c r="F32" s="394"/>
      <c r="G32" s="427">
        <f>IF(G28="Machine Harvest",0,IF(G28="Hand Harvest",AM106,IF(G28="Combination of Both",AM106-G30,0)))</f>
        <v>0</v>
      </c>
      <c r="J32" s="380"/>
      <c r="K32" s="380"/>
      <c r="L32" s="380"/>
      <c r="M32" s="380"/>
      <c r="N32" s="380"/>
      <c r="P32" s="380"/>
      <c r="Q32" s="380"/>
      <c r="AH32" s="434"/>
      <c r="AI32" s="434"/>
      <c r="AJ32" s="434"/>
      <c r="AK32" s="434"/>
      <c r="AL32" s="434"/>
      <c r="AM32" s="435">
        <v>0.26</v>
      </c>
      <c r="AN32" s="434"/>
    </row>
    <row r="33" spans="3:40" ht="17" thickBot="1" x14ac:dyDescent="0.25">
      <c r="C33" s="400" t="s">
        <v>25</v>
      </c>
      <c r="D33" s="401"/>
      <c r="E33" s="405">
        <v>30</v>
      </c>
      <c r="F33" s="406" t="s">
        <v>27</v>
      </c>
      <c r="G33" s="428"/>
      <c r="AH33" s="434"/>
      <c r="AI33" s="434"/>
      <c r="AJ33" s="434"/>
      <c r="AK33" s="434"/>
      <c r="AL33" s="434"/>
      <c r="AM33" s="435">
        <v>0.27</v>
      </c>
      <c r="AN33" s="434"/>
    </row>
    <row r="34" spans="3:40" ht="21" x14ac:dyDescent="0.25">
      <c r="C34" s="515" t="s">
        <v>28</v>
      </c>
      <c r="D34" s="516"/>
      <c r="E34" s="516"/>
      <c r="F34" s="516"/>
      <c r="G34" s="517"/>
      <c r="AH34" s="434"/>
      <c r="AI34" s="434"/>
      <c r="AJ34" s="434"/>
      <c r="AK34" s="434"/>
      <c r="AL34" s="434"/>
      <c r="AM34" s="435">
        <v>0.28000000000000003</v>
      </c>
      <c r="AN34" s="434"/>
    </row>
    <row r="35" spans="3:40" x14ac:dyDescent="0.2">
      <c r="C35" s="360" t="s">
        <v>31</v>
      </c>
      <c r="D35" s="361"/>
      <c r="E35" s="379">
        <v>0</v>
      </c>
      <c r="F35" s="361" t="s">
        <v>32</v>
      </c>
      <c r="G35" s="415"/>
      <c r="AH35" s="434"/>
      <c r="AI35" s="434"/>
      <c r="AJ35" s="434"/>
      <c r="AK35" s="434"/>
      <c r="AL35" s="434"/>
      <c r="AM35" s="435">
        <v>0.28999999999999998</v>
      </c>
      <c r="AN35" s="434"/>
    </row>
    <row r="36" spans="3:40" ht="19" x14ac:dyDescent="0.2">
      <c r="C36" s="360" t="s">
        <v>413</v>
      </c>
      <c r="D36" s="361"/>
      <c r="E36" s="397">
        <v>0</v>
      </c>
      <c r="F36" s="398" t="s">
        <v>467</v>
      </c>
      <c r="G36" s="429"/>
      <c r="AH36" s="434"/>
      <c r="AI36" s="434"/>
      <c r="AJ36" s="434"/>
      <c r="AK36" s="434"/>
      <c r="AL36" s="434"/>
      <c r="AM36" s="435">
        <v>0.3</v>
      </c>
      <c r="AN36" s="434"/>
    </row>
    <row r="37" spans="3:40" ht="19" x14ac:dyDescent="0.2">
      <c r="C37" s="360" t="s">
        <v>414</v>
      </c>
      <c r="D37" s="361"/>
      <c r="E37" s="379">
        <v>0</v>
      </c>
      <c r="F37" s="398" t="s">
        <v>468</v>
      </c>
      <c r="G37" s="430"/>
      <c r="AH37" s="434"/>
      <c r="AI37" s="434"/>
      <c r="AJ37" s="434"/>
      <c r="AK37" s="434"/>
      <c r="AL37" s="434"/>
      <c r="AM37" s="435">
        <v>0.31</v>
      </c>
      <c r="AN37" s="434"/>
    </row>
    <row r="38" spans="3:40" ht="19" x14ac:dyDescent="0.2">
      <c r="C38" s="360" t="s">
        <v>29</v>
      </c>
      <c r="D38" s="361"/>
      <c r="E38" s="397">
        <v>0</v>
      </c>
      <c r="F38" s="398" t="s">
        <v>467</v>
      </c>
      <c r="G38" s="429"/>
      <c r="AH38" s="434"/>
      <c r="AI38" s="434"/>
      <c r="AJ38" s="434"/>
      <c r="AK38" s="434"/>
      <c r="AL38" s="434"/>
      <c r="AM38" s="435">
        <v>0.32</v>
      </c>
      <c r="AN38" s="434"/>
    </row>
    <row r="39" spans="3:40" ht="20" thickBot="1" x14ac:dyDescent="0.25">
      <c r="C39" s="400" t="s">
        <v>30</v>
      </c>
      <c r="D39" s="401"/>
      <c r="E39" s="403">
        <v>55</v>
      </c>
      <c r="F39" s="407" t="s">
        <v>468</v>
      </c>
      <c r="G39" s="431"/>
      <c r="AH39" s="434"/>
      <c r="AI39" s="434"/>
      <c r="AJ39" s="434"/>
      <c r="AK39" s="434"/>
      <c r="AL39" s="434"/>
      <c r="AM39" s="435">
        <v>0.33</v>
      </c>
      <c r="AN39" s="434"/>
    </row>
    <row r="40" spans="3:40" ht="21" x14ac:dyDescent="0.25">
      <c r="C40" s="515" t="s">
        <v>33</v>
      </c>
      <c r="D40" s="516"/>
      <c r="E40" s="516"/>
      <c r="F40" s="516"/>
      <c r="G40" s="517"/>
      <c r="AH40" s="434"/>
      <c r="AI40" s="434"/>
      <c r="AJ40" s="434"/>
      <c r="AK40" s="434"/>
      <c r="AL40" s="434"/>
      <c r="AM40" s="435">
        <v>0.34</v>
      </c>
      <c r="AN40" s="434"/>
    </row>
    <row r="41" spans="3:40" x14ac:dyDescent="0.2">
      <c r="C41" s="360" t="s">
        <v>34</v>
      </c>
      <c r="D41" s="361"/>
      <c r="E41" s="399">
        <v>0.01</v>
      </c>
      <c r="F41" s="361"/>
      <c r="G41" s="301"/>
      <c r="AH41" s="434"/>
      <c r="AI41" s="434"/>
      <c r="AJ41" s="434"/>
      <c r="AK41" s="434"/>
      <c r="AL41" s="434"/>
      <c r="AM41" s="435">
        <v>0.35</v>
      </c>
      <c r="AN41" s="434"/>
    </row>
    <row r="42" spans="3:40" x14ac:dyDescent="0.2">
      <c r="C42" s="360" t="s">
        <v>362</v>
      </c>
      <c r="D42" s="361"/>
      <c r="E42" s="379">
        <v>109</v>
      </c>
      <c r="F42" s="398" t="s">
        <v>32</v>
      </c>
      <c r="G42" s="418"/>
      <c r="AH42" s="434"/>
      <c r="AI42" s="434"/>
      <c r="AJ42" s="434"/>
      <c r="AK42" s="434"/>
      <c r="AL42" s="434"/>
      <c r="AM42" s="435">
        <v>0.36</v>
      </c>
      <c r="AN42" s="434"/>
    </row>
    <row r="43" spans="3:40" x14ac:dyDescent="0.2">
      <c r="C43" s="360" t="s">
        <v>35</v>
      </c>
      <c r="D43" s="361"/>
      <c r="E43" s="379">
        <v>25</v>
      </c>
      <c r="F43" s="361"/>
      <c r="G43" s="415"/>
      <c r="AH43" s="434"/>
      <c r="AI43" s="434"/>
      <c r="AJ43" s="434"/>
      <c r="AK43" s="434"/>
      <c r="AL43" s="434"/>
      <c r="AM43" s="435">
        <v>0.37</v>
      </c>
      <c r="AN43" s="434"/>
    </row>
    <row r="44" spans="3:40" x14ac:dyDescent="0.2">
      <c r="C44" s="360" t="s">
        <v>36</v>
      </c>
      <c r="D44" s="361"/>
      <c r="E44" s="379">
        <v>3000</v>
      </c>
      <c r="F44" s="361" t="s">
        <v>23</v>
      </c>
      <c r="G44" s="418"/>
      <c r="AH44" s="434"/>
      <c r="AI44" s="434"/>
      <c r="AJ44" s="434"/>
      <c r="AK44" s="434"/>
      <c r="AL44" s="434"/>
      <c r="AM44" s="435">
        <v>0.38</v>
      </c>
      <c r="AN44" s="434"/>
    </row>
    <row r="45" spans="3:40" ht="17" thickBot="1" x14ac:dyDescent="0.25">
      <c r="C45" s="400" t="s">
        <v>37</v>
      </c>
      <c r="D45" s="401"/>
      <c r="E45" s="404">
        <v>0.05</v>
      </c>
      <c r="F45" s="401" t="s">
        <v>46</v>
      </c>
      <c r="G45" s="432"/>
      <c r="AH45" s="434"/>
      <c r="AI45" s="434"/>
      <c r="AJ45" s="434"/>
      <c r="AK45" s="434"/>
      <c r="AL45" s="434"/>
      <c r="AM45" s="435">
        <v>0.39</v>
      </c>
      <c r="AN45" s="434"/>
    </row>
    <row r="46" spans="3:40" ht="21" x14ac:dyDescent="0.25">
      <c r="C46" s="515" t="s">
        <v>388</v>
      </c>
      <c r="D46" s="516"/>
      <c r="E46" s="516"/>
      <c r="F46" s="516"/>
      <c r="G46" s="517"/>
      <c r="AH46" s="434"/>
      <c r="AI46" s="434"/>
      <c r="AJ46" s="434"/>
      <c r="AK46" s="434"/>
      <c r="AL46" s="434"/>
      <c r="AM46" s="435">
        <v>0.4</v>
      </c>
      <c r="AN46" s="434"/>
    </row>
    <row r="47" spans="3:40" x14ac:dyDescent="0.2">
      <c r="C47" s="360" t="s">
        <v>469</v>
      </c>
      <c r="D47" s="361"/>
      <c r="E47" s="399">
        <v>0.25</v>
      </c>
      <c r="F47" s="361"/>
      <c r="G47" s="433"/>
      <c r="AH47" s="434"/>
      <c r="AI47" s="434"/>
      <c r="AJ47" s="434"/>
      <c r="AK47" s="434"/>
      <c r="AL47" s="434"/>
      <c r="AM47" s="435">
        <v>0.41</v>
      </c>
      <c r="AN47" s="434"/>
    </row>
    <row r="48" spans="3:40" x14ac:dyDescent="0.2">
      <c r="C48" s="360" t="s">
        <v>38</v>
      </c>
      <c r="D48" s="361"/>
      <c r="E48" s="399">
        <v>0.06</v>
      </c>
      <c r="F48" s="361"/>
      <c r="G48" s="301"/>
      <c r="AH48" s="434"/>
      <c r="AI48" s="434"/>
      <c r="AJ48" s="434"/>
      <c r="AK48" s="434"/>
      <c r="AL48" s="434"/>
      <c r="AM48" s="435">
        <v>0.42</v>
      </c>
      <c r="AN48" s="434"/>
    </row>
    <row r="49" spans="3:40" x14ac:dyDescent="0.2">
      <c r="C49" s="360" t="s">
        <v>39</v>
      </c>
      <c r="D49" s="361"/>
      <c r="E49" s="399">
        <v>0.05</v>
      </c>
      <c r="F49" s="361"/>
      <c r="G49" s="433"/>
      <c r="AH49" s="434"/>
      <c r="AI49" s="434"/>
      <c r="AJ49" s="434"/>
      <c r="AK49" s="434"/>
      <c r="AL49" s="434"/>
      <c r="AM49" s="435">
        <v>0.43</v>
      </c>
      <c r="AN49" s="434"/>
    </row>
    <row r="50" spans="3:40" x14ac:dyDescent="0.2">
      <c r="C50" s="360" t="s">
        <v>41</v>
      </c>
      <c r="D50" s="361"/>
      <c r="E50" s="399">
        <v>0.02</v>
      </c>
      <c r="F50" s="361"/>
      <c r="G50" s="301"/>
      <c r="AH50" s="434"/>
      <c r="AI50" s="434"/>
      <c r="AJ50" s="434"/>
      <c r="AK50" s="434"/>
      <c r="AL50" s="434"/>
      <c r="AM50" s="435">
        <v>0.44</v>
      </c>
      <c r="AN50" s="434"/>
    </row>
    <row r="51" spans="3:40" ht="17" thickBot="1" x14ac:dyDescent="0.25">
      <c r="C51" s="400" t="s">
        <v>40</v>
      </c>
      <c r="D51" s="401"/>
      <c r="E51" s="284">
        <f>IF(ISBLANK(G49),E49,G49)-IF(ISBLANK(G50),E50,G50)</f>
        <v>3.0000000000000002E-2</v>
      </c>
      <c r="F51" s="401"/>
      <c r="G51" s="402">
        <f>E51</f>
        <v>3.0000000000000002E-2</v>
      </c>
      <c r="AH51" s="434"/>
      <c r="AI51" s="434"/>
      <c r="AJ51" s="434"/>
      <c r="AK51" s="434"/>
      <c r="AL51" s="434"/>
      <c r="AM51" s="435">
        <v>0.45</v>
      </c>
      <c r="AN51" s="434"/>
    </row>
    <row r="52" spans="3:40" x14ac:dyDescent="0.2">
      <c r="C52" s="380"/>
      <c r="D52" s="380"/>
      <c r="E52" s="380"/>
      <c r="F52" s="380"/>
      <c r="G52" s="380"/>
      <c r="AH52" s="434"/>
      <c r="AI52" s="434"/>
      <c r="AJ52" s="434"/>
      <c r="AK52" s="434"/>
      <c r="AL52" s="434"/>
      <c r="AM52" s="435">
        <v>0.46</v>
      </c>
      <c r="AN52" s="434"/>
    </row>
    <row r="53" spans="3:40" x14ac:dyDescent="0.2">
      <c r="AH53" s="434"/>
      <c r="AI53" s="434"/>
      <c r="AJ53" s="434"/>
      <c r="AK53" s="434"/>
      <c r="AL53" s="434"/>
      <c r="AM53" s="435">
        <v>0.47</v>
      </c>
      <c r="AN53" s="434"/>
    </row>
    <row r="54" spans="3:40" x14ac:dyDescent="0.2">
      <c r="AH54" s="434"/>
      <c r="AI54" s="434"/>
      <c r="AJ54" s="434"/>
      <c r="AK54" s="434"/>
      <c r="AL54" s="434"/>
      <c r="AM54" s="435">
        <v>0.48</v>
      </c>
      <c r="AN54" s="434"/>
    </row>
    <row r="55" spans="3:40" x14ac:dyDescent="0.2">
      <c r="AH55" s="434"/>
      <c r="AI55" s="434"/>
      <c r="AJ55" s="434"/>
      <c r="AK55" s="434"/>
      <c r="AL55" s="434"/>
      <c r="AM55" s="435">
        <v>0.49</v>
      </c>
      <c r="AN55" s="434"/>
    </row>
    <row r="56" spans="3:40" x14ac:dyDescent="0.2">
      <c r="AH56" s="434"/>
      <c r="AI56" s="434"/>
      <c r="AJ56" s="434"/>
      <c r="AK56" s="434"/>
      <c r="AL56" s="434"/>
      <c r="AM56" s="435">
        <v>0.5</v>
      </c>
      <c r="AN56" s="434"/>
    </row>
    <row r="57" spans="3:40" x14ac:dyDescent="0.2">
      <c r="AH57" s="434"/>
      <c r="AI57" s="434"/>
      <c r="AJ57" s="434"/>
      <c r="AK57" s="434"/>
      <c r="AL57" s="434"/>
      <c r="AM57" s="435">
        <v>0.51</v>
      </c>
      <c r="AN57" s="434"/>
    </row>
    <row r="58" spans="3:40" x14ac:dyDescent="0.2">
      <c r="AH58" s="434"/>
      <c r="AI58" s="434"/>
      <c r="AJ58" s="434"/>
      <c r="AK58" s="434"/>
      <c r="AL58" s="434"/>
      <c r="AM58" s="435">
        <v>0.52</v>
      </c>
      <c r="AN58" s="434"/>
    </row>
    <row r="59" spans="3:40" x14ac:dyDescent="0.2">
      <c r="AH59" s="434"/>
      <c r="AI59" s="434"/>
      <c r="AJ59" s="434"/>
      <c r="AK59" s="434"/>
      <c r="AL59" s="434"/>
      <c r="AM59" s="435">
        <v>0.53</v>
      </c>
      <c r="AN59" s="434"/>
    </row>
    <row r="60" spans="3:40" x14ac:dyDescent="0.2">
      <c r="AH60" s="434"/>
      <c r="AI60" s="434"/>
      <c r="AJ60" s="434"/>
      <c r="AK60" s="434"/>
      <c r="AL60" s="434"/>
      <c r="AM60" s="435">
        <v>0.54</v>
      </c>
      <c r="AN60" s="434"/>
    </row>
    <row r="61" spans="3:40" x14ac:dyDescent="0.2">
      <c r="AH61" s="434"/>
      <c r="AI61" s="434"/>
      <c r="AJ61" s="434"/>
      <c r="AK61" s="434"/>
      <c r="AL61" s="434"/>
      <c r="AM61" s="435">
        <v>0.55000000000000004</v>
      </c>
      <c r="AN61" s="434"/>
    </row>
    <row r="62" spans="3:40" x14ac:dyDescent="0.2">
      <c r="AH62" s="434"/>
      <c r="AI62" s="434"/>
      <c r="AJ62" s="434"/>
      <c r="AK62" s="434"/>
      <c r="AL62" s="434"/>
      <c r="AM62" s="435">
        <v>0.56000000000000005</v>
      </c>
      <c r="AN62" s="434"/>
    </row>
    <row r="63" spans="3:40" x14ac:dyDescent="0.2">
      <c r="AH63" s="434"/>
      <c r="AI63" s="434"/>
      <c r="AJ63" s="434"/>
      <c r="AK63" s="434"/>
      <c r="AL63" s="434"/>
      <c r="AM63" s="435">
        <v>0.56999999999999995</v>
      </c>
      <c r="AN63" s="434"/>
    </row>
    <row r="64" spans="3:40" x14ac:dyDescent="0.2">
      <c r="AH64" s="434"/>
      <c r="AI64" s="434"/>
      <c r="AJ64" s="434"/>
      <c r="AK64" s="434"/>
      <c r="AL64" s="434"/>
      <c r="AM64" s="435">
        <v>0.57999999999999996</v>
      </c>
      <c r="AN64" s="434"/>
    </row>
    <row r="65" spans="34:40" x14ac:dyDescent="0.2">
      <c r="AH65" s="434"/>
      <c r="AI65" s="434"/>
      <c r="AJ65" s="434"/>
      <c r="AK65" s="434"/>
      <c r="AL65" s="434"/>
      <c r="AM65" s="435">
        <v>0.59</v>
      </c>
      <c r="AN65" s="434"/>
    </row>
    <row r="66" spans="34:40" x14ac:dyDescent="0.2">
      <c r="AH66" s="434"/>
      <c r="AI66" s="434"/>
      <c r="AJ66" s="434"/>
      <c r="AK66" s="434"/>
      <c r="AL66" s="434"/>
      <c r="AM66" s="435">
        <v>0.6</v>
      </c>
      <c r="AN66" s="434"/>
    </row>
    <row r="67" spans="34:40" x14ac:dyDescent="0.2">
      <c r="AH67" s="434"/>
      <c r="AI67" s="434"/>
      <c r="AJ67" s="434"/>
      <c r="AK67" s="434"/>
      <c r="AL67" s="434"/>
      <c r="AM67" s="435">
        <v>0.61</v>
      </c>
      <c r="AN67" s="434"/>
    </row>
    <row r="68" spans="34:40" x14ac:dyDescent="0.2">
      <c r="AH68" s="434"/>
      <c r="AI68" s="434"/>
      <c r="AJ68" s="434"/>
      <c r="AK68" s="434"/>
      <c r="AL68" s="434"/>
      <c r="AM68" s="435">
        <v>0.62</v>
      </c>
      <c r="AN68" s="434"/>
    </row>
    <row r="69" spans="34:40" x14ac:dyDescent="0.2">
      <c r="AH69" s="434"/>
      <c r="AI69" s="434"/>
      <c r="AJ69" s="434"/>
      <c r="AK69" s="434"/>
      <c r="AL69" s="434"/>
      <c r="AM69" s="435">
        <v>0.63</v>
      </c>
      <c r="AN69" s="434"/>
    </row>
    <row r="70" spans="34:40" x14ac:dyDescent="0.2">
      <c r="AH70" s="434"/>
      <c r="AI70" s="434"/>
      <c r="AJ70" s="434"/>
      <c r="AK70" s="434"/>
      <c r="AL70" s="434"/>
      <c r="AM70" s="435">
        <v>0.64</v>
      </c>
      <c r="AN70" s="434"/>
    </row>
    <row r="71" spans="34:40" x14ac:dyDescent="0.2">
      <c r="AH71" s="434"/>
      <c r="AI71" s="434"/>
      <c r="AJ71" s="434"/>
      <c r="AK71" s="434"/>
      <c r="AL71" s="434"/>
      <c r="AM71" s="435">
        <v>0.65</v>
      </c>
      <c r="AN71" s="434"/>
    </row>
    <row r="72" spans="34:40" x14ac:dyDescent="0.2">
      <c r="AH72" s="434"/>
      <c r="AI72" s="434"/>
      <c r="AJ72" s="434"/>
      <c r="AK72" s="434"/>
      <c r="AL72" s="434"/>
      <c r="AM72" s="435">
        <v>0.66</v>
      </c>
      <c r="AN72" s="434"/>
    </row>
    <row r="73" spans="34:40" x14ac:dyDescent="0.2">
      <c r="AH73" s="434"/>
      <c r="AI73" s="434"/>
      <c r="AJ73" s="434"/>
      <c r="AK73" s="434"/>
      <c r="AL73" s="434"/>
      <c r="AM73" s="435">
        <v>0.67</v>
      </c>
      <c r="AN73" s="434"/>
    </row>
    <row r="74" spans="34:40" x14ac:dyDescent="0.2">
      <c r="AH74" s="434"/>
      <c r="AI74" s="434"/>
      <c r="AJ74" s="434"/>
      <c r="AK74" s="434"/>
      <c r="AL74" s="434"/>
      <c r="AM74" s="435">
        <v>0.68</v>
      </c>
      <c r="AN74" s="434"/>
    </row>
    <row r="75" spans="34:40" x14ac:dyDescent="0.2">
      <c r="AH75" s="434"/>
      <c r="AI75" s="434"/>
      <c r="AJ75" s="434"/>
      <c r="AK75" s="434"/>
      <c r="AL75" s="434"/>
      <c r="AM75" s="435">
        <v>0.69</v>
      </c>
      <c r="AN75" s="434"/>
    </row>
    <row r="76" spans="34:40" x14ac:dyDescent="0.2">
      <c r="AH76" s="434"/>
      <c r="AI76" s="434"/>
      <c r="AJ76" s="434"/>
      <c r="AK76" s="434"/>
      <c r="AL76" s="434"/>
      <c r="AM76" s="435">
        <v>0.7</v>
      </c>
      <c r="AN76" s="434"/>
    </row>
    <row r="77" spans="34:40" x14ac:dyDescent="0.2">
      <c r="AH77" s="434"/>
      <c r="AI77" s="434"/>
      <c r="AJ77" s="434"/>
      <c r="AK77" s="434"/>
      <c r="AL77" s="434"/>
      <c r="AM77" s="435">
        <v>0.71</v>
      </c>
      <c r="AN77" s="434"/>
    </row>
    <row r="78" spans="34:40" x14ac:dyDescent="0.2">
      <c r="AH78" s="434"/>
      <c r="AI78" s="434"/>
      <c r="AJ78" s="434"/>
      <c r="AK78" s="434"/>
      <c r="AL78" s="434"/>
      <c r="AM78" s="435">
        <v>0.72</v>
      </c>
      <c r="AN78" s="434"/>
    </row>
    <row r="79" spans="34:40" x14ac:dyDescent="0.2">
      <c r="AH79" s="434"/>
      <c r="AI79" s="434"/>
      <c r="AJ79" s="434"/>
      <c r="AK79" s="434"/>
      <c r="AL79" s="434"/>
      <c r="AM79" s="435">
        <v>0.73</v>
      </c>
      <c r="AN79" s="434"/>
    </row>
    <row r="80" spans="34:40" x14ac:dyDescent="0.2">
      <c r="AH80" s="434"/>
      <c r="AI80" s="434"/>
      <c r="AJ80" s="434"/>
      <c r="AK80" s="434"/>
      <c r="AL80" s="434"/>
      <c r="AM80" s="435">
        <v>0.74</v>
      </c>
      <c r="AN80" s="434"/>
    </row>
    <row r="81" spans="34:40" x14ac:dyDescent="0.2">
      <c r="AH81" s="434"/>
      <c r="AI81" s="434"/>
      <c r="AJ81" s="434"/>
      <c r="AK81" s="434"/>
      <c r="AL81" s="434"/>
      <c r="AM81" s="435">
        <v>0.75</v>
      </c>
      <c r="AN81" s="434"/>
    </row>
    <row r="82" spans="34:40" x14ac:dyDescent="0.2">
      <c r="AH82" s="434"/>
      <c r="AI82" s="434"/>
      <c r="AJ82" s="434"/>
      <c r="AK82" s="434"/>
      <c r="AL82" s="434"/>
      <c r="AM82" s="435">
        <v>0.76</v>
      </c>
      <c r="AN82" s="434"/>
    </row>
    <row r="83" spans="34:40" x14ac:dyDescent="0.2">
      <c r="AH83" s="434"/>
      <c r="AI83" s="434"/>
      <c r="AJ83" s="434"/>
      <c r="AK83" s="434"/>
      <c r="AL83" s="434"/>
      <c r="AM83" s="435">
        <v>0.77</v>
      </c>
      <c r="AN83" s="434"/>
    </row>
    <row r="84" spans="34:40" x14ac:dyDescent="0.2">
      <c r="AH84" s="434"/>
      <c r="AI84" s="434"/>
      <c r="AJ84" s="434"/>
      <c r="AK84" s="434"/>
      <c r="AL84" s="434"/>
      <c r="AM84" s="435">
        <v>0.78</v>
      </c>
      <c r="AN84" s="434"/>
    </row>
    <row r="85" spans="34:40" x14ac:dyDescent="0.2">
      <c r="AH85" s="434"/>
      <c r="AI85" s="434"/>
      <c r="AJ85" s="434"/>
      <c r="AK85" s="434"/>
      <c r="AL85" s="434"/>
      <c r="AM85" s="435">
        <v>0.79</v>
      </c>
      <c r="AN85" s="434"/>
    </row>
    <row r="86" spans="34:40" x14ac:dyDescent="0.2">
      <c r="AH86" s="434"/>
      <c r="AI86" s="434"/>
      <c r="AJ86" s="434"/>
      <c r="AK86" s="434"/>
      <c r="AL86" s="434"/>
      <c r="AM86" s="435">
        <v>0.8</v>
      </c>
      <c r="AN86" s="434"/>
    </row>
    <row r="87" spans="34:40" x14ac:dyDescent="0.2">
      <c r="AH87" s="434"/>
      <c r="AI87" s="434"/>
      <c r="AJ87" s="434"/>
      <c r="AK87" s="434"/>
      <c r="AL87" s="434"/>
      <c r="AM87" s="435">
        <v>0.81</v>
      </c>
      <c r="AN87" s="434"/>
    </row>
    <row r="88" spans="34:40" x14ac:dyDescent="0.2">
      <c r="AH88" s="434"/>
      <c r="AI88" s="434"/>
      <c r="AJ88" s="434"/>
      <c r="AK88" s="434"/>
      <c r="AL88" s="434"/>
      <c r="AM88" s="435">
        <v>0.82</v>
      </c>
      <c r="AN88" s="434"/>
    </row>
    <row r="89" spans="34:40" x14ac:dyDescent="0.2">
      <c r="AH89" s="434"/>
      <c r="AI89" s="434"/>
      <c r="AJ89" s="434"/>
      <c r="AK89" s="434"/>
      <c r="AL89" s="434"/>
      <c r="AM89" s="435">
        <v>0.83</v>
      </c>
      <c r="AN89" s="434"/>
    </row>
    <row r="90" spans="34:40" x14ac:dyDescent="0.2">
      <c r="AH90" s="434"/>
      <c r="AI90" s="434"/>
      <c r="AJ90" s="434"/>
      <c r="AK90" s="434"/>
      <c r="AL90" s="434"/>
      <c r="AM90" s="435">
        <v>0.84</v>
      </c>
      <c r="AN90" s="434"/>
    </row>
    <row r="91" spans="34:40" x14ac:dyDescent="0.2">
      <c r="AH91" s="434"/>
      <c r="AI91" s="434"/>
      <c r="AJ91" s="434"/>
      <c r="AK91" s="434"/>
      <c r="AL91" s="434"/>
      <c r="AM91" s="435">
        <v>0.85</v>
      </c>
      <c r="AN91" s="434"/>
    </row>
    <row r="92" spans="34:40" x14ac:dyDescent="0.2">
      <c r="AH92" s="434"/>
      <c r="AI92" s="434"/>
      <c r="AJ92" s="434"/>
      <c r="AK92" s="434"/>
      <c r="AL92" s="434"/>
      <c r="AM92" s="435">
        <v>0.86</v>
      </c>
      <c r="AN92" s="434"/>
    </row>
    <row r="93" spans="34:40" x14ac:dyDescent="0.2">
      <c r="AH93" s="434"/>
      <c r="AI93" s="434"/>
      <c r="AJ93" s="434"/>
      <c r="AK93" s="434"/>
      <c r="AL93" s="434"/>
      <c r="AM93" s="435">
        <v>0.87</v>
      </c>
      <c r="AN93" s="434"/>
    </row>
    <row r="94" spans="34:40" x14ac:dyDescent="0.2">
      <c r="AH94" s="434"/>
      <c r="AI94" s="434"/>
      <c r="AJ94" s="434"/>
      <c r="AK94" s="434"/>
      <c r="AL94" s="434"/>
      <c r="AM94" s="435">
        <v>0.88</v>
      </c>
      <c r="AN94" s="434"/>
    </row>
    <row r="95" spans="34:40" x14ac:dyDescent="0.2">
      <c r="AH95" s="434"/>
      <c r="AI95" s="434"/>
      <c r="AJ95" s="434"/>
      <c r="AK95" s="434"/>
      <c r="AL95" s="434"/>
      <c r="AM95" s="435">
        <v>0.89</v>
      </c>
      <c r="AN95" s="434"/>
    </row>
    <row r="96" spans="34:40" x14ac:dyDescent="0.2">
      <c r="AH96" s="434"/>
      <c r="AI96" s="434"/>
      <c r="AJ96" s="434"/>
      <c r="AK96" s="434"/>
      <c r="AL96" s="434"/>
      <c r="AM96" s="435">
        <v>0.9</v>
      </c>
      <c r="AN96" s="434"/>
    </row>
    <row r="97" spans="34:40" x14ac:dyDescent="0.2">
      <c r="AH97" s="434"/>
      <c r="AI97" s="434"/>
      <c r="AJ97" s="434"/>
      <c r="AK97" s="434"/>
      <c r="AL97" s="434"/>
      <c r="AM97" s="435">
        <v>0.91</v>
      </c>
      <c r="AN97" s="434"/>
    </row>
    <row r="98" spans="34:40" x14ac:dyDescent="0.2">
      <c r="AH98" s="434"/>
      <c r="AI98" s="434"/>
      <c r="AJ98" s="434"/>
      <c r="AK98" s="434"/>
      <c r="AL98" s="434"/>
      <c r="AM98" s="435">
        <v>0.92</v>
      </c>
      <c r="AN98" s="434"/>
    </row>
    <row r="99" spans="34:40" x14ac:dyDescent="0.2">
      <c r="AH99" s="434"/>
      <c r="AI99" s="434"/>
      <c r="AJ99" s="434"/>
      <c r="AK99" s="434"/>
      <c r="AL99" s="434"/>
      <c r="AM99" s="435">
        <v>0.93</v>
      </c>
      <c r="AN99" s="434"/>
    </row>
    <row r="100" spans="34:40" x14ac:dyDescent="0.2">
      <c r="AH100" s="434"/>
      <c r="AI100" s="434"/>
      <c r="AJ100" s="434"/>
      <c r="AK100" s="434"/>
      <c r="AL100" s="434"/>
      <c r="AM100" s="435">
        <v>0.94</v>
      </c>
      <c r="AN100" s="434"/>
    </row>
    <row r="101" spans="34:40" x14ac:dyDescent="0.2">
      <c r="AH101" s="434"/>
      <c r="AI101" s="434"/>
      <c r="AJ101" s="434"/>
      <c r="AK101" s="434"/>
      <c r="AL101" s="434"/>
      <c r="AM101" s="435">
        <v>0.95</v>
      </c>
      <c r="AN101" s="434"/>
    </row>
    <row r="102" spans="34:40" x14ac:dyDescent="0.2">
      <c r="AH102" s="434"/>
      <c r="AI102" s="434"/>
      <c r="AJ102" s="434"/>
      <c r="AK102" s="434"/>
      <c r="AL102" s="434"/>
      <c r="AM102" s="435">
        <v>0.96</v>
      </c>
      <c r="AN102" s="434"/>
    </row>
    <row r="103" spans="34:40" x14ac:dyDescent="0.2">
      <c r="AH103" s="434"/>
      <c r="AI103" s="434"/>
      <c r="AJ103" s="434"/>
      <c r="AK103" s="434"/>
      <c r="AL103" s="434"/>
      <c r="AM103" s="435">
        <v>0.97</v>
      </c>
      <c r="AN103" s="434"/>
    </row>
    <row r="104" spans="34:40" x14ac:dyDescent="0.2">
      <c r="AH104" s="434"/>
      <c r="AI104" s="434"/>
      <c r="AJ104" s="434"/>
      <c r="AK104" s="434"/>
      <c r="AL104" s="434"/>
      <c r="AM104" s="435">
        <v>0.98</v>
      </c>
      <c r="AN104" s="434"/>
    </row>
    <row r="105" spans="34:40" x14ac:dyDescent="0.2">
      <c r="AH105" s="434"/>
      <c r="AI105" s="434"/>
      <c r="AJ105" s="434"/>
      <c r="AK105" s="434"/>
      <c r="AL105" s="434"/>
      <c r="AM105" s="435">
        <v>0.99</v>
      </c>
      <c r="AN105" s="434"/>
    </row>
    <row r="106" spans="34:40" x14ac:dyDescent="0.2">
      <c r="AH106" s="434"/>
      <c r="AI106" s="434"/>
      <c r="AJ106" s="434"/>
      <c r="AK106" s="434"/>
      <c r="AL106" s="434"/>
      <c r="AM106" s="435">
        <v>1</v>
      </c>
      <c r="AN106" s="434"/>
    </row>
    <row r="107" spans="34:40" x14ac:dyDescent="0.2">
      <c r="AH107" s="434"/>
      <c r="AI107" s="434"/>
      <c r="AJ107" s="434"/>
      <c r="AK107" s="434"/>
      <c r="AL107" s="434"/>
      <c r="AM107" s="434"/>
      <c r="AN107" s="434"/>
    </row>
  </sheetData>
  <sheetProtection algorithmName="SHA-512" hashValue="87E/zOg64DRudTC/goQKHvvT8cftbTIzkSitaNoKlpMU9yMsXE4WRn5gsnN/KDZBfE6maXjMklqyrcbIZq5/DA==" saltValue="sNIoLCHe4wbvtWL1atZHoQ==" spinCount="100000" sheet="1" objects="1" scenarios="1"/>
  <mergeCells count="14">
    <mergeCell ref="I22:N22"/>
    <mergeCell ref="I24:N24"/>
    <mergeCell ref="I17:N17"/>
    <mergeCell ref="C46:G46"/>
    <mergeCell ref="C18:G18"/>
    <mergeCell ref="C23:G23"/>
    <mergeCell ref="C27:G27"/>
    <mergeCell ref="C34:G34"/>
    <mergeCell ref="C40:G40"/>
    <mergeCell ref="C3:G3"/>
    <mergeCell ref="C4:G4"/>
    <mergeCell ref="J4:L4"/>
    <mergeCell ref="I3:M3"/>
    <mergeCell ref="I20:N20"/>
  </mergeCells>
  <conditionalFormatting sqref="L20">
    <cfRule type="cellIs" dxfId="31" priority="1" operator="lessThan">
      <formula>IF(ISBLANK($L$9),$L$8,$L$9)</formula>
    </cfRule>
    <cfRule type="cellIs" dxfId="30" priority="2" operator="greaterThan">
      <formula>IF(ISBLANK($L$9),$L$8,$L$9)</formula>
    </cfRule>
  </conditionalFormatting>
  <dataValidations count="6">
    <dataValidation type="list" showInputMessage="1" showErrorMessage="1" sqref="G12" xr:uid="{019B1F77-BF95-6446-8C05-AE627609EB26}">
      <formula1>$AJ$6:$AJ$8</formula1>
    </dataValidation>
    <dataValidation type="list" allowBlank="1" showInputMessage="1" showErrorMessage="1" sqref="G15:G16" xr:uid="{0C470E91-1D5F-D045-A374-148772A697D8}">
      <formula1>$AJ$6:$AJ$8</formula1>
    </dataValidation>
    <dataValidation type="list" allowBlank="1" showInputMessage="1" showErrorMessage="1" sqref="G28" xr:uid="{24474CDC-04E3-064A-A107-27ED48F98606}">
      <formula1>$AJ$10:$AJ$13</formula1>
    </dataValidation>
    <dataValidation type="list" allowBlank="1" showInputMessage="1" showErrorMessage="1" sqref="E30 E32 G30 G32" xr:uid="{4B0ACDBD-7E7E-4242-8DF1-100B4CCA6BEB}">
      <formula1>$AM$6:$AM$106</formula1>
    </dataValidation>
    <dataValidation type="decimal" operator="lessThanOrEqual" allowBlank="1" showInputMessage="1" showErrorMessage="1" errorTitle="Percentage Error" error="The percentages for machine harvest and hand harvest equal more than 100%. Please review these numbers and make sure they sum to 100%_x000a_" sqref="I28" xr:uid="{D0399736-04F7-6543-8110-9346AD52718D}">
      <formula1>AM106</formula1>
    </dataValidation>
    <dataValidation type="decimal" operator="greaterThanOrEqual" allowBlank="1" showInputMessage="1" showErrorMessage="1" sqref="G6:G11 G13:G14 G17 G19:G22 G24:G26 G29 G31 G33 G35:G39 G41:G45 G47:G50 J7:M7 L9 J19:N19 J21:N21 J23:N23" xr:uid="{562545E3-F0E9-5F47-8780-F09AF152F95B}">
      <formula1>0</formula1>
    </dataValidation>
  </dataValidation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3E94D7-AC57-B14A-A062-E8EDE58C6889}">
  <sheetPr>
    <tabColor theme="9" tint="0.59999389629810485"/>
  </sheetPr>
  <dimension ref="B4:K25"/>
  <sheetViews>
    <sheetView zoomScale="90" zoomScaleNormal="90" workbookViewId="0">
      <selection activeCell="R5" sqref="R5"/>
    </sheetView>
  </sheetViews>
  <sheetFormatPr baseColWidth="10" defaultRowHeight="16" x14ac:dyDescent="0.2"/>
  <cols>
    <col min="1" max="1" width="10.83203125" style="2"/>
    <col min="2" max="2" width="1.6640625" style="2" customWidth="1"/>
    <col min="3" max="3" width="7.33203125" style="2" customWidth="1"/>
    <col min="4" max="4" width="113" style="2" bestFit="1" customWidth="1"/>
    <col min="5" max="5" width="10.83203125" style="2"/>
    <col min="6" max="7" width="14" style="2" bestFit="1" customWidth="1"/>
    <col min="8" max="8" width="26" style="2" bestFit="1" customWidth="1"/>
    <col min="9" max="9" width="16.1640625" style="2" customWidth="1"/>
    <col min="10" max="10" width="12.83203125" style="2" bestFit="1" customWidth="1"/>
    <col min="11" max="16384" width="10.83203125" style="2"/>
  </cols>
  <sheetData>
    <row r="4" spans="2:11" ht="17" thickBot="1" x14ac:dyDescent="0.25"/>
    <row r="5" spans="2:11" x14ac:dyDescent="0.2">
      <c r="B5" s="229"/>
      <c r="C5" s="230"/>
      <c r="D5" s="230"/>
      <c r="E5" s="230"/>
      <c r="F5" s="230"/>
      <c r="G5" s="230"/>
      <c r="H5" s="230"/>
      <c r="I5" s="230"/>
      <c r="J5" s="231"/>
    </row>
    <row r="6" spans="2:11" ht="21" x14ac:dyDescent="0.25">
      <c r="B6" s="232"/>
      <c r="C6" s="518" t="s">
        <v>482</v>
      </c>
      <c r="D6" s="518"/>
      <c r="E6" s="518"/>
      <c r="F6" s="518"/>
      <c r="G6" s="518"/>
      <c r="H6" s="518"/>
      <c r="I6" s="518"/>
      <c r="J6" s="519"/>
    </row>
    <row r="7" spans="2:11" x14ac:dyDescent="0.2">
      <c r="B7" s="232"/>
      <c r="C7" s="222"/>
      <c r="D7" s="222"/>
      <c r="E7" s="222"/>
      <c r="F7" s="222"/>
      <c r="G7" s="222"/>
      <c r="H7" s="222"/>
      <c r="I7" s="222"/>
      <c r="J7" s="233"/>
    </row>
    <row r="8" spans="2:11" x14ac:dyDescent="0.2">
      <c r="B8" s="232"/>
      <c r="C8" s="289">
        <v>1</v>
      </c>
      <c r="D8" s="222" t="s">
        <v>504</v>
      </c>
      <c r="E8" s="222"/>
      <c r="F8" s="279" t="str">
        <f>IF('Mature Vineyard Results'!D33&gt;0, "Yes", "No")</f>
        <v>Yes</v>
      </c>
      <c r="G8" s="222"/>
      <c r="H8" s="222"/>
      <c r="I8" s="222"/>
      <c r="J8" s="233"/>
    </row>
    <row r="9" spans="2:11" ht="4" customHeight="1" x14ac:dyDescent="0.2">
      <c r="B9" s="232"/>
      <c r="C9" s="289"/>
      <c r="D9" s="222"/>
      <c r="E9" s="222"/>
      <c r="F9" s="265"/>
      <c r="G9" s="222"/>
      <c r="H9" s="222"/>
      <c r="I9" s="222"/>
      <c r="J9" s="233"/>
    </row>
    <row r="10" spans="2:11" x14ac:dyDescent="0.2">
      <c r="B10" s="232"/>
      <c r="C10" s="289">
        <v>2</v>
      </c>
      <c r="D10" s="222" t="s">
        <v>541</v>
      </c>
      <c r="E10" s="222"/>
      <c r="F10" s="277">
        <f>'Mature Vineyard Results'!D33</f>
        <v>813.54478001018651</v>
      </c>
      <c r="G10" s="265" t="str">
        <f>IF('Mature Vineyard Results'!D33&gt;0,"economic profit", "economic loss")</f>
        <v>economic profit</v>
      </c>
      <c r="H10" s="265"/>
      <c r="I10" s="265"/>
      <c r="J10" s="233"/>
    </row>
    <row r="11" spans="2:11" ht="3" customHeight="1" x14ac:dyDescent="0.2">
      <c r="B11" s="232"/>
      <c r="C11" s="289"/>
      <c r="D11" s="222"/>
      <c r="E11" s="222"/>
      <c r="F11" s="265"/>
      <c r="G11" s="222"/>
      <c r="H11" s="222"/>
      <c r="I11" s="222"/>
      <c r="J11" s="233"/>
    </row>
    <row r="12" spans="2:11" x14ac:dyDescent="0.2">
      <c r="B12" s="232"/>
      <c r="C12" s="289">
        <v>3</v>
      </c>
      <c r="D12" s="222" t="s">
        <v>483</v>
      </c>
      <c r="E12" s="222"/>
      <c r="F12" s="280">
        <f>'Mature Vineyard Results'!N28</f>
        <v>26</v>
      </c>
      <c r="G12" s="265" t="s">
        <v>523</v>
      </c>
      <c r="H12" s="222"/>
      <c r="I12" s="222"/>
      <c r="J12" s="233"/>
      <c r="K12" s="283"/>
    </row>
    <row r="13" spans="2:11" ht="3" customHeight="1" x14ac:dyDescent="0.2">
      <c r="B13" s="232"/>
      <c r="C13" s="289"/>
      <c r="D13" s="222"/>
      <c r="E13" s="222"/>
      <c r="F13" s="222"/>
      <c r="G13" s="222"/>
      <c r="H13" s="222"/>
      <c r="I13" s="222"/>
      <c r="J13" s="233"/>
    </row>
    <row r="14" spans="2:11" ht="14" customHeight="1" x14ac:dyDescent="0.2">
      <c r="B14" s="232"/>
      <c r="C14" s="289">
        <v>4</v>
      </c>
      <c r="D14" s="222" t="s">
        <v>497</v>
      </c>
      <c r="E14" s="222"/>
      <c r="F14" s="277">
        <f>'V. Establishment &amp; Dev Results'!G32</f>
        <v>17456.03209275</v>
      </c>
      <c r="G14" s="222"/>
      <c r="H14" s="222"/>
      <c r="I14" s="222"/>
      <c r="J14" s="233"/>
    </row>
    <row r="15" spans="2:11" ht="4" customHeight="1" x14ac:dyDescent="0.2">
      <c r="B15" s="232"/>
      <c r="C15" s="289"/>
      <c r="D15" s="222"/>
      <c r="E15" s="222"/>
      <c r="F15" s="222"/>
      <c r="G15" s="222"/>
      <c r="H15" s="222"/>
      <c r="I15" s="222"/>
      <c r="J15" s="233"/>
    </row>
    <row r="16" spans="2:11" ht="15" customHeight="1" x14ac:dyDescent="0.2">
      <c r="B16" s="232"/>
      <c r="C16" s="289">
        <v>5</v>
      </c>
      <c r="D16" s="222" t="s">
        <v>503</v>
      </c>
      <c r="E16" s="222"/>
      <c r="F16" s="277">
        <f>(I16*SUM('V. Establishment &amp; Dev Results'!J21:L21))+'Machinery &amp; Equipment'!C26</f>
        <v>549590.64185500005</v>
      </c>
      <c r="G16" s="222"/>
      <c r="H16" s="282" t="s">
        <v>498</v>
      </c>
      <c r="I16" s="286">
        <f>IF(ISBLANK('General Assumptions'!G7),'General Assumptions'!E7,'General Assumptions'!G7)</f>
        <v>20</v>
      </c>
      <c r="J16" s="281" t="s">
        <v>499</v>
      </c>
    </row>
    <row r="17" spans="2:10" ht="4" customHeight="1" x14ac:dyDescent="0.2">
      <c r="B17" s="232"/>
      <c r="C17" s="289"/>
      <c r="D17" s="222"/>
      <c r="E17" s="222"/>
      <c r="F17" s="222"/>
      <c r="G17" s="222"/>
      <c r="H17" s="222"/>
      <c r="I17" s="222"/>
      <c r="J17" s="233"/>
    </row>
    <row r="18" spans="2:10" x14ac:dyDescent="0.2">
      <c r="B18" s="232"/>
      <c r="C18" s="289">
        <v>6</v>
      </c>
      <c r="D18" s="222" t="s">
        <v>484</v>
      </c>
      <c r="E18" s="222"/>
      <c r="F18" s="277">
        <f>'Mature Vineyard Results'!D8</f>
        <v>8800</v>
      </c>
      <c r="G18" s="222"/>
      <c r="H18" s="222"/>
      <c r="I18" s="222"/>
      <c r="J18" s="233"/>
    </row>
    <row r="19" spans="2:10" ht="4" customHeight="1" x14ac:dyDescent="0.2">
      <c r="B19" s="232"/>
      <c r="C19" s="289"/>
      <c r="D19" s="222"/>
      <c r="E19" s="222"/>
      <c r="F19" s="265"/>
      <c r="G19" s="222"/>
      <c r="H19" s="222"/>
      <c r="I19" s="222"/>
      <c r="J19" s="233"/>
    </row>
    <row r="20" spans="2:10" x14ac:dyDescent="0.2">
      <c r="B20" s="232"/>
      <c r="C20" s="289">
        <v>7</v>
      </c>
      <c r="D20" s="222" t="s">
        <v>485</v>
      </c>
      <c r="E20" s="222"/>
      <c r="F20" s="277">
        <f>'Mature Vineyard Results'!D31</f>
        <v>7986.4552199898135</v>
      </c>
      <c r="G20" s="222"/>
      <c r="H20" s="222"/>
      <c r="I20" s="222"/>
      <c r="J20" s="233"/>
    </row>
    <row r="21" spans="2:10" ht="3" customHeight="1" x14ac:dyDescent="0.2">
      <c r="B21" s="232"/>
      <c r="C21" s="289"/>
      <c r="D21" s="222"/>
      <c r="E21" s="222"/>
      <c r="F21" s="265"/>
      <c r="G21" s="222"/>
      <c r="H21" s="222"/>
      <c r="I21" s="222"/>
      <c r="J21" s="233"/>
    </row>
    <row r="22" spans="2:10" x14ac:dyDescent="0.2">
      <c r="B22" s="232"/>
      <c r="C22" s="289">
        <v>8</v>
      </c>
      <c r="D22" s="222" t="s">
        <v>566</v>
      </c>
      <c r="E22" s="222"/>
      <c r="F22" s="278">
        <f>'Mature Vineyard Results'!D36</f>
        <v>1996.6138049974534</v>
      </c>
      <c r="G22" s="265" t="s">
        <v>481</v>
      </c>
      <c r="H22" s="282" t="s">
        <v>496</v>
      </c>
      <c r="I22" s="286">
        <f>IF(ISBLANK('General Assumptions'!M7),'General Assumptions'!M6,'General Assumptions'!M7)</f>
        <v>4</v>
      </c>
      <c r="J22" s="233"/>
    </row>
    <row r="23" spans="2:10" ht="5" customHeight="1" x14ac:dyDescent="0.2">
      <c r="B23" s="232"/>
      <c r="C23" s="289"/>
      <c r="D23" s="222"/>
      <c r="E23" s="222"/>
      <c r="F23" s="265"/>
      <c r="G23" s="222"/>
      <c r="H23" s="282"/>
      <c r="I23" s="286"/>
      <c r="J23" s="233"/>
    </row>
    <row r="24" spans="2:10" x14ac:dyDescent="0.2">
      <c r="B24" s="232"/>
      <c r="C24" s="289">
        <v>9</v>
      </c>
      <c r="D24" s="222" t="s">
        <v>494</v>
      </c>
      <c r="E24" s="222"/>
      <c r="F24" s="288">
        <f>'Mature Vineyard Results'!D38</f>
        <v>3.6302069181771879</v>
      </c>
      <c r="G24" s="265" t="s">
        <v>486</v>
      </c>
      <c r="H24" s="282" t="s">
        <v>495</v>
      </c>
      <c r="I24" s="287">
        <f>IF(ISBLANK('General Assumptions'!L9),'General Assumptions'!L8,'General Assumptions'!L9)</f>
        <v>2200</v>
      </c>
      <c r="J24" s="233"/>
    </row>
    <row r="25" spans="2:10" ht="17" thickBot="1" x14ac:dyDescent="0.25">
      <c r="B25" s="234"/>
      <c r="C25" s="235"/>
      <c r="D25" s="235"/>
      <c r="E25" s="235"/>
      <c r="F25" s="235"/>
      <c r="G25" s="235"/>
      <c r="H25" s="235"/>
      <c r="I25" s="235"/>
      <c r="J25" s="236"/>
    </row>
  </sheetData>
  <sheetProtection algorithmName="SHA-512" hashValue="lrLg2mpIQSGBv4bI4gWrQCo4niLcgDCBpqD9c+R9+iA+i+eWwfYi6rdliR8BC6dBq3fMriOG2ICNVMjjP+xhFg==" saltValue="e2/oLtlWAR6+U4B7NOA1+Q==" spinCount="100000" sheet="1" objects="1" scenarios="1"/>
  <mergeCells count="1">
    <mergeCell ref="C6:J6"/>
  </mergeCells>
  <conditionalFormatting sqref="F8">
    <cfRule type="containsText" dxfId="29" priority="9" operator="containsText" text="No">
      <formula>NOT(ISERROR(SEARCH("No",F8)))</formula>
    </cfRule>
    <cfRule type="containsText" dxfId="28" priority="10" operator="containsText" text="Yes">
      <formula>NOT(ISERROR(SEARCH("Yes",F8)))</formula>
    </cfRule>
  </conditionalFormatting>
  <conditionalFormatting sqref="F10">
    <cfRule type="cellIs" dxfId="27" priority="7" operator="lessThan">
      <formula>0</formula>
    </cfRule>
    <cfRule type="cellIs" dxfId="26" priority="8" operator="greaterThan">
      <formula>0</formula>
    </cfRule>
  </conditionalFormatting>
  <conditionalFormatting sqref="G10:I10">
    <cfRule type="containsText" dxfId="25" priority="5" operator="containsText" text="economic loss">
      <formula>NOT(ISERROR(SEARCH("economic loss",G10)))</formula>
    </cfRule>
    <cfRule type="containsText" dxfId="24" priority="6" operator="containsText" text="economic profit">
      <formula>NOT(ISERROR(SEARCH("economic profit",G10)))</formula>
    </cfRule>
  </conditionalFormatting>
  <conditionalFormatting sqref="F12">
    <cfRule type="cellIs" dxfId="23" priority="2" operator="greaterThan">
      <formula>30</formula>
    </cfRule>
    <cfRule type="cellIs" dxfId="22" priority="3" operator="lessThan">
      <formula>20</formula>
    </cfRule>
    <cfRule type="cellIs" dxfId="21" priority="4" operator="between">
      <formula>20</formula>
      <formula>30</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938431-EF3A-6A43-8BA1-C049CF817BBE}">
  <sheetPr>
    <tabColor theme="9" tint="0.59999389629810485"/>
  </sheetPr>
  <dimension ref="B3:O39"/>
  <sheetViews>
    <sheetView zoomScale="77" zoomScaleNormal="80" workbookViewId="0">
      <selection activeCell="Z4" sqref="Z4"/>
    </sheetView>
  </sheetViews>
  <sheetFormatPr baseColWidth="10" defaultRowHeight="16" x14ac:dyDescent="0.2"/>
  <cols>
    <col min="1" max="3" width="10.83203125" style="2"/>
    <col min="4" max="4" width="46.83203125" style="2" bestFit="1" customWidth="1"/>
    <col min="5" max="5" width="13.5" style="2" customWidth="1"/>
    <col min="6" max="6" width="12.83203125" style="2" customWidth="1"/>
    <col min="7" max="7" width="13.83203125" style="2" customWidth="1"/>
    <col min="8" max="8" width="10.83203125" style="2"/>
    <col min="9" max="9" width="30.6640625" style="2" bestFit="1" customWidth="1"/>
    <col min="10" max="14" width="10.83203125" style="2"/>
    <col min="15" max="15" width="12.33203125" style="2" bestFit="1" customWidth="1"/>
    <col min="16" max="16384" width="10.83203125" style="2"/>
  </cols>
  <sheetData>
    <row r="3" spans="2:15" ht="17" thickBot="1" x14ac:dyDescent="0.25"/>
    <row r="4" spans="2:15" ht="21" x14ac:dyDescent="0.2">
      <c r="D4" s="336" t="s">
        <v>408</v>
      </c>
      <c r="E4" s="337"/>
      <c r="F4" s="337"/>
      <c r="G4" s="338"/>
      <c r="I4" s="522" t="s">
        <v>335</v>
      </c>
      <c r="J4" s="523"/>
      <c r="K4" s="523"/>
      <c r="L4" s="524"/>
    </row>
    <row r="5" spans="2:15" x14ac:dyDescent="0.2">
      <c r="B5" s="3"/>
      <c r="C5" s="46"/>
      <c r="D5" s="339"/>
      <c r="E5" s="520" t="s">
        <v>309</v>
      </c>
      <c r="F5" s="520"/>
      <c r="G5" s="521"/>
      <c r="H5" s="3"/>
      <c r="I5" s="525" t="s">
        <v>432</v>
      </c>
      <c r="J5" s="526"/>
      <c r="K5" s="526"/>
      <c r="L5" s="527"/>
    </row>
    <row r="6" spans="2:15" x14ac:dyDescent="0.2">
      <c r="B6" s="3"/>
      <c r="C6" s="222"/>
      <c r="D6" s="340" t="s">
        <v>72</v>
      </c>
      <c r="E6" s="450" t="s">
        <v>310</v>
      </c>
      <c r="F6" s="450" t="s">
        <v>311</v>
      </c>
      <c r="G6" s="451" t="s">
        <v>312</v>
      </c>
      <c r="H6" s="3"/>
      <c r="I6" s="148" t="s">
        <v>72</v>
      </c>
      <c r="J6" s="51" t="s">
        <v>42</v>
      </c>
      <c r="K6" s="51" t="s">
        <v>43</v>
      </c>
      <c r="L6" s="140" t="s">
        <v>44</v>
      </c>
    </row>
    <row r="7" spans="2:15" x14ac:dyDescent="0.2">
      <c r="B7" s="3"/>
      <c r="C7" s="222"/>
      <c r="D7" s="341" t="s">
        <v>313</v>
      </c>
      <c r="E7" s="212"/>
      <c r="F7" s="212"/>
      <c r="G7" s="452"/>
      <c r="H7" s="3"/>
      <c r="I7" s="33" t="s">
        <v>181</v>
      </c>
      <c r="J7" s="212">
        <f>'Establishment &amp; Dev Costs'!P7</f>
        <v>806.42560333333347</v>
      </c>
      <c r="K7" s="212">
        <f>'Establishment &amp; Dev Costs'!Q7</f>
        <v>0</v>
      </c>
      <c r="L7" s="452">
        <f>'Establishment &amp; Dev Costs'!R7</f>
        <v>0</v>
      </c>
    </row>
    <row r="8" spans="2:15" x14ac:dyDescent="0.2">
      <c r="B8" s="3"/>
      <c r="C8" s="46"/>
      <c r="D8" s="342" t="s">
        <v>314</v>
      </c>
      <c r="E8" s="453">
        <f>IF(ISBLANK('General Assumptions'!J7),'General Assumptions'!J6,'General Assumptions'!J7)</f>
        <v>0</v>
      </c>
      <c r="F8" s="453">
        <f>IF(ISBLANK('General Assumptions'!K7),'General Assumptions'!K6,'General Assumptions'!K7)</f>
        <v>0</v>
      </c>
      <c r="G8" s="454">
        <f>IF(ISBLANK('General Assumptions'!L7),'General Assumptions'!L6,'General Assumptions'!L7)</f>
        <v>2</v>
      </c>
      <c r="H8" s="3"/>
      <c r="I8" s="33" t="s">
        <v>184</v>
      </c>
      <c r="J8" s="463">
        <f>'Establishment &amp; Dev Costs'!P8</f>
        <v>6516.8688199999997</v>
      </c>
      <c r="K8" s="463">
        <f>'Establishment &amp; Dev Costs'!Q8</f>
        <v>0</v>
      </c>
      <c r="L8" s="464">
        <f>'Establishment &amp; Dev Costs'!R8</f>
        <v>0</v>
      </c>
    </row>
    <row r="9" spans="2:15" x14ac:dyDescent="0.2">
      <c r="B9" s="3"/>
      <c r="C9" s="46"/>
      <c r="D9" s="342" t="s">
        <v>524</v>
      </c>
      <c r="E9" s="212">
        <f>IF(ISBLANK('General Assumptions'!$L$9),'General Assumptions'!$L$8,'General Assumptions'!$L$9)</f>
        <v>2200</v>
      </c>
      <c r="F9" s="212">
        <f>IF(ISBLANK('General Assumptions'!$L$9),'General Assumptions'!$L$8,'General Assumptions'!$L$9)</f>
        <v>2200</v>
      </c>
      <c r="G9" s="452">
        <f>IF(ISBLANK('General Assumptions'!$L$9),'General Assumptions'!$L$8,'General Assumptions'!$L$9)</f>
        <v>2200</v>
      </c>
      <c r="H9" s="3"/>
      <c r="I9" s="33" t="s">
        <v>186</v>
      </c>
      <c r="J9" s="465">
        <f>'Establishment &amp; Dev Costs'!P9</f>
        <v>4904.7811199999996</v>
      </c>
      <c r="K9" s="465">
        <f>'Establishment &amp; Dev Costs'!Q9</f>
        <v>0</v>
      </c>
      <c r="L9" s="466">
        <f>'Establishment &amp; Dev Costs'!R9</f>
        <v>0</v>
      </c>
    </row>
    <row r="10" spans="2:15" x14ac:dyDescent="0.2">
      <c r="B10" s="3"/>
      <c r="C10" s="46"/>
      <c r="D10" s="343" t="s">
        <v>315</v>
      </c>
      <c r="E10" s="212">
        <f>E8*E9</f>
        <v>0</v>
      </c>
      <c r="F10" s="212">
        <f t="shared" ref="F10:G10" si="0">F8*F9</f>
        <v>0</v>
      </c>
      <c r="G10" s="452">
        <f t="shared" si="0"/>
        <v>4400</v>
      </c>
      <c r="H10" s="3"/>
      <c r="I10" s="33" t="s">
        <v>189</v>
      </c>
      <c r="J10" s="463">
        <f>'Establishment &amp; Dev Costs'!P10</f>
        <v>0</v>
      </c>
      <c r="K10" s="463">
        <f>'Establishment &amp; Dev Costs'!Q10</f>
        <v>207.08763999999999</v>
      </c>
      <c r="L10" s="464">
        <f>'Establishment &amp; Dev Costs'!R10</f>
        <v>189.58763999999999</v>
      </c>
    </row>
    <row r="11" spans="2:15" x14ac:dyDescent="0.2">
      <c r="B11" s="3"/>
      <c r="C11" s="222"/>
      <c r="D11" s="341" t="s">
        <v>316</v>
      </c>
      <c r="E11" s="212"/>
      <c r="F11" s="212"/>
      <c r="G11" s="452"/>
      <c r="H11" s="3"/>
      <c r="I11" s="33" t="s">
        <v>192</v>
      </c>
      <c r="J11" s="465">
        <f>'Establishment &amp; Dev Costs'!P11</f>
        <v>0</v>
      </c>
      <c r="K11" s="465">
        <f>'Establishment &amp; Dev Costs'!Q11</f>
        <v>69</v>
      </c>
      <c r="L11" s="466">
        <f>'Establishment &amp; Dev Costs'!R11</f>
        <v>414</v>
      </c>
    </row>
    <row r="12" spans="2:15" x14ac:dyDescent="0.2">
      <c r="B12" s="3"/>
      <c r="C12" s="222"/>
      <c r="D12" s="342" t="s">
        <v>317</v>
      </c>
      <c r="E12" s="212">
        <f>'Establishment &amp; Dev Costs'!K17</f>
        <v>806.42560333333347</v>
      </c>
      <c r="F12" s="212">
        <f>K7</f>
        <v>0</v>
      </c>
      <c r="G12" s="452">
        <f>L7</f>
        <v>0</v>
      </c>
      <c r="H12" s="3"/>
      <c r="I12" s="33" t="s">
        <v>194</v>
      </c>
      <c r="J12" s="463">
        <f>'Establishment &amp; Dev Costs'!P12</f>
        <v>214.54726233333332</v>
      </c>
      <c r="K12" s="463">
        <f>'Establishment &amp; Dev Costs'!Q12</f>
        <v>187.58088699999999</v>
      </c>
      <c r="L12" s="464">
        <f>'Establishment &amp; Dev Costs'!R12</f>
        <v>234.66125199999999</v>
      </c>
    </row>
    <row r="13" spans="2:15" x14ac:dyDescent="0.2">
      <c r="B13" s="3"/>
      <c r="C13" s="222"/>
      <c r="D13" s="342" t="s">
        <v>318</v>
      </c>
      <c r="E13" s="212"/>
      <c r="F13" s="212"/>
      <c r="G13" s="452"/>
      <c r="H13" s="3"/>
      <c r="I13" s="33" t="s">
        <v>197</v>
      </c>
      <c r="J13" s="465">
        <f>'Establishment &amp; Dev Costs'!P13</f>
        <v>334.55274333333335</v>
      </c>
      <c r="K13" s="465">
        <f>'Establishment &amp; Dev Costs'!Q13</f>
        <v>34.552743333333332</v>
      </c>
      <c r="L13" s="466">
        <f>'Establishment &amp; Dev Costs'!R13</f>
        <v>173.65994333333336</v>
      </c>
      <c r="N13" s="26" t="s">
        <v>535</v>
      </c>
      <c r="O13" s="26" t="s">
        <v>534</v>
      </c>
    </row>
    <row r="14" spans="2:15" x14ac:dyDescent="0.2">
      <c r="B14" s="3"/>
      <c r="C14" s="46"/>
      <c r="D14" s="344" t="s">
        <v>319</v>
      </c>
      <c r="E14" s="212">
        <f>SUM(J8:J20)</f>
        <v>12279.402592666667</v>
      </c>
      <c r="F14" s="212">
        <f>SUM(K8:K20)</f>
        <v>1306.1809409999998</v>
      </c>
      <c r="G14" s="452">
        <f>SUM(L8:L20)</f>
        <v>2464.0229557500002</v>
      </c>
      <c r="H14" s="3"/>
      <c r="I14" s="33" t="s">
        <v>199</v>
      </c>
      <c r="J14" s="463">
        <f>'Establishment &amp; Dev Costs'!P14</f>
        <v>0</v>
      </c>
      <c r="K14" s="463">
        <f>'Establishment &amp; Dev Costs'!Q14</f>
        <v>128.1</v>
      </c>
      <c r="L14" s="464">
        <f>'Establishment &amp; Dev Costs'!R14</f>
        <v>390.6</v>
      </c>
      <c r="N14" s="26" t="s">
        <v>177</v>
      </c>
      <c r="O14" s="149">
        <f>E12</f>
        <v>806.42560333333347</v>
      </c>
    </row>
    <row r="15" spans="2:15" x14ac:dyDescent="0.2">
      <c r="B15" s="3"/>
      <c r="C15" s="46"/>
      <c r="D15" s="344" t="s">
        <v>320</v>
      </c>
      <c r="E15" s="212">
        <v>0</v>
      </c>
      <c r="F15" s="212">
        <v>0</v>
      </c>
      <c r="G15" s="452">
        <f>G8*IF(ISBLANK('General Assumptions'!G31),'General Assumptions'!E31,'General Assumptions'!G31)</f>
        <v>600</v>
      </c>
      <c r="H15" s="3"/>
      <c r="I15" s="33" t="s">
        <v>203</v>
      </c>
      <c r="J15" s="465">
        <f>'Establishment &amp; Dev Costs'!P15</f>
        <v>146.12006299999999</v>
      </c>
      <c r="K15" s="465">
        <f>'Establishment &amp; Dev Costs'!Q15</f>
        <v>194.82675066666667</v>
      </c>
      <c r="L15" s="466">
        <f>'Establishment &amp; Dev Costs'!R15</f>
        <v>379.41238041666668</v>
      </c>
      <c r="N15" s="26" t="s">
        <v>42</v>
      </c>
      <c r="O15" s="149">
        <f>E16-E12</f>
        <v>12279.402592666667</v>
      </c>
    </row>
    <row r="16" spans="2:15" x14ac:dyDescent="0.2">
      <c r="B16" s="3"/>
      <c r="C16" s="222"/>
      <c r="D16" s="342" t="s">
        <v>533</v>
      </c>
      <c r="E16" s="212">
        <f>J21+E15</f>
        <v>13085.828196</v>
      </c>
      <c r="F16" s="212">
        <f>K21+F15</f>
        <v>1306.1809409999998</v>
      </c>
      <c r="G16" s="452">
        <f>L21+G15</f>
        <v>3064.0229557500002</v>
      </c>
      <c r="H16" s="3"/>
      <c r="I16" s="33" t="s">
        <v>204</v>
      </c>
      <c r="J16" s="463">
        <f>'Establishment &amp; Dev Costs'!P16</f>
        <v>91.672584000000001</v>
      </c>
      <c r="K16" s="463">
        <f>'Establishment &amp; Dev Costs'!Q16</f>
        <v>311.07528000000002</v>
      </c>
      <c r="L16" s="464">
        <f>'Establishment &amp; Dev Costs'!R16</f>
        <v>281.17528000000004</v>
      </c>
      <c r="N16" s="26" t="s">
        <v>43</v>
      </c>
      <c r="O16" s="149">
        <f>F16</f>
        <v>1306.1809409999998</v>
      </c>
    </row>
    <row r="17" spans="2:15" x14ac:dyDescent="0.2">
      <c r="B17" s="3"/>
      <c r="C17" s="46"/>
      <c r="D17" s="342"/>
      <c r="E17" s="212"/>
      <c r="F17" s="212"/>
      <c r="G17" s="452"/>
      <c r="H17" s="3"/>
      <c r="I17" s="33" t="s">
        <v>206</v>
      </c>
      <c r="J17" s="465">
        <f>'Establishment &amp; Dev Costs'!P17</f>
        <v>0</v>
      </c>
      <c r="K17" s="465">
        <f>'Establishment &amp; Dev Costs'!Q17</f>
        <v>103.09764000000001</v>
      </c>
      <c r="L17" s="466">
        <f>'Establishment &amp; Dev Costs'!R17</f>
        <v>151.06646000000001</v>
      </c>
      <c r="N17" s="26" t="s">
        <v>44</v>
      </c>
      <c r="O17" s="149">
        <f>G16</f>
        <v>3064.0229557500002</v>
      </c>
    </row>
    <row r="18" spans="2:15" x14ac:dyDescent="0.2">
      <c r="B18" s="3"/>
      <c r="C18" s="222"/>
      <c r="D18" s="342" t="s">
        <v>321</v>
      </c>
      <c r="E18" s="455"/>
      <c r="F18" s="455"/>
      <c r="G18" s="456"/>
      <c r="H18" s="3"/>
      <c r="I18" s="33" t="s">
        <v>207</v>
      </c>
      <c r="J18" s="463"/>
      <c r="K18" s="463"/>
      <c r="L18" s="464">
        <f>'Establishment &amp; Dev Costs'!K72</f>
        <v>70</v>
      </c>
      <c r="N18" s="26" t="s">
        <v>536</v>
      </c>
      <c r="O18" s="334">
        <f>'Machinery &amp; Equipment'!C40</f>
        <v>10623.5</v>
      </c>
    </row>
    <row r="19" spans="2:15" x14ac:dyDescent="0.2">
      <c r="B19" s="3"/>
      <c r="C19" s="335"/>
      <c r="D19" s="345" t="s">
        <v>379</v>
      </c>
      <c r="E19" s="457">
        <f>(IF(ISBLANK('General Assumptions'!$G$35),'General Assumptions'!$E$35,'General Assumptions'!$G$35)/1000)*IF(ISBLANK('General Assumptions'!G43),'General Assumptions'!E43,'General Assumptions'!G43)</f>
        <v>0</v>
      </c>
      <c r="F19" s="457">
        <f>(IF(ISBLANK('General Assumptions'!$G$35),'General Assumptions'!$E$35,'General Assumptions'!$G$35)/1000)*IF(ISBLANK('General Assumptions'!G43),'General Assumptions'!E43,'General Assumptions'!G43)</f>
        <v>0</v>
      </c>
      <c r="G19" s="458">
        <f>(IF(ISBLANK('General Assumptions'!$G$35),'General Assumptions'!$E$35,'General Assumptions'!$G$35)/1000)*IF(ISBLANK('General Assumptions'!G43),'General Assumptions'!E43,'General Assumptions'!G43)</f>
        <v>0</v>
      </c>
      <c r="H19" s="3"/>
      <c r="I19" s="33" t="s">
        <v>332</v>
      </c>
      <c r="J19" s="465">
        <f>'Establishment &amp; Dev Costs'!K15</f>
        <v>70.86</v>
      </c>
      <c r="K19" s="465">
        <f>'Establishment &amp; Dev Costs'!K33</f>
        <v>70.86</v>
      </c>
      <c r="L19" s="466">
        <f>'Establishment &amp; Dev Costs'!K85</f>
        <v>70.86</v>
      </c>
    </row>
    <row r="20" spans="2:15" x14ac:dyDescent="0.2">
      <c r="B20" s="3"/>
      <c r="C20" s="46"/>
      <c r="D20" s="344" t="s">
        <v>567</v>
      </c>
      <c r="E20" s="212">
        <f>'Machinery &amp; Equipment'!K40</f>
        <v>1159.3999848254402</v>
      </c>
      <c r="F20" s="212">
        <f>'Machinery &amp; Equipment'!K40</f>
        <v>1159.3999848254402</v>
      </c>
      <c r="G20" s="452">
        <f>'Machinery &amp; Equipment'!K40</f>
        <v>1159.3999848254402</v>
      </c>
      <c r="H20" s="3"/>
      <c r="I20" s="74" t="s">
        <v>333</v>
      </c>
      <c r="J20" s="467"/>
      <c r="K20" s="467"/>
      <c r="L20" s="468">
        <f>IF(ISBLANK('General Assumptions'!G42),'General Assumptions'!E42,'General Assumptions'!G42)</f>
        <v>109</v>
      </c>
    </row>
    <row r="21" spans="2:15" ht="17" thickBot="1" x14ac:dyDescent="0.25">
      <c r="B21" s="3"/>
      <c r="C21" s="46"/>
      <c r="D21" s="344" t="s">
        <v>322</v>
      </c>
      <c r="E21" s="212">
        <f>IF(ISBLANK('General Assumptions'!G44),'General Assumptions'!E44,'General Assumptions'!G45)/IF(ISBLANK('General Assumptions'!G7),'General Assumptions'!E7,'General Assumptions'!G7)</f>
        <v>150</v>
      </c>
      <c r="F21" s="212">
        <f>IF(ISBLANK('General Assumptions'!G44),'General Assumptions'!E44,'General Assumptions'!G45)/IF(ISBLANK('General Assumptions'!G7),'General Assumptions'!E7,'General Assumptions'!G7)</f>
        <v>150</v>
      </c>
      <c r="G21" s="452">
        <f>IF(ISBLANK('General Assumptions'!G44),'General Assumptions'!E44,'General Assumptions'!G45)/IF(ISBLANK('General Assumptions'!G7),'General Assumptions'!E7,'General Assumptions'!G7)</f>
        <v>150</v>
      </c>
      <c r="H21" s="3"/>
      <c r="I21" s="191" t="s">
        <v>334</v>
      </c>
      <c r="J21" s="469">
        <f>SUM(J7:J20)</f>
        <v>13085.828196</v>
      </c>
      <c r="K21" s="469">
        <f>SUM(K7:K20)</f>
        <v>1306.1809409999998</v>
      </c>
      <c r="L21" s="470">
        <f>SUM(L7:L20)</f>
        <v>2464.0229557500002</v>
      </c>
    </row>
    <row r="22" spans="2:15" x14ac:dyDescent="0.2">
      <c r="B22" s="3"/>
      <c r="C22" s="46"/>
      <c r="D22" s="344" t="s">
        <v>323</v>
      </c>
      <c r="E22" s="212">
        <f>'Machinery &amp; Equipment'!K40*IF(ISBLANK('General Assumptions'!G41),'General Assumptions'!E41,'General Assumptions'!G41)</f>
        <v>11.593999848254402</v>
      </c>
      <c r="F22" s="212">
        <f t="shared" ref="F22:G22" si="1">E22</f>
        <v>11.593999848254402</v>
      </c>
      <c r="G22" s="452">
        <f t="shared" si="1"/>
        <v>11.593999848254402</v>
      </c>
      <c r="H22" s="3"/>
      <c r="I22" s="26"/>
      <c r="J22" s="26"/>
      <c r="K22" s="26"/>
      <c r="L22" s="26"/>
      <c r="M22" s="26"/>
      <c r="N22" s="26"/>
      <c r="O22" s="26"/>
    </row>
    <row r="23" spans="2:15" x14ac:dyDescent="0.2">
      <c r="B23" s="3"/>
      <c r="C23" s="46"/>
      <c r="D23" s="344" t="s">
        <v>324</v>
      </c>
      <c r="E23" s="212">
        <f>(E8*E9)*IF(ISBLANK('General Assumptions'!$G$45),'General Assumptions'!$E$45,'General Assumptions'!$G$45)</f>
        <v>0</v>
      </c>
      <c r="F23" s="212">
        <f>(F8*F9)*IF(ISBLANK('General Assumptions'!$G$45),'General Assumptions'!$E$45,'General Assumptions'!$G$45)</f>
        <v>0</v>
      </c>
      <c r="G23" s="452">
        <f>(G8*G9)*IF(ISBLANK('General Assumptions'!$G$45),'General Assumptions'!$E$45,'General Assumptions'!$G$45)</f>
        <v>220</v>
      </c>
      <c r="H23" s="3"/>
      <c r="I23" s="26"/>
      <c r="J23" s="26"/>
      <c r="K23" s="26"/>
      <c r="L23" s="26"/>
      <c r="M23" s="26"/>
      <c r="N23" s="26"/>
      <c r="O23" s="26"/>
    </row>
    <row r="24" spans="2:15" x14ac:dyDescent="0.2">
      <c r="B24" s="3"/>
      <c r="C24" s="222"/>
      <c r="D24" s="342" t="s">
        <v>325</v>
      </c>
      <c r="E24" s="212">
        <f>SUM(E20:E23)</f>
        <v>1320.9939846736947</v>
      </c>
      <c r="F24" s="212">
        <f>SUM(F20:F23)</f>
        <v>1320.9939846736947</v>
      </c>
      <c r="G24" s="452">
        <f>SUM(G20:G23)</f>
        <v>1540.9939846736947</v>
      </c>
      <c r="H24" s="3"/>
      <c r="I24" s="26"/>
      <c r="J24" s="26"/>
      <c r="K24" s="26"/>
      <c r="L24" s="26"/>
      <c r="M24" s="26"/>
      <c r="N24" s="26"/>
      <c r="O24" s="26"/>
    </row>
    <row r="25" spans="2:15" x14ac:dyDescent="0.2">
      <c r="B25" s="3"/>
      <c r="C25" s="46"/>
      <c r="D25" s="342"/>
      <c r="E25" s="212"/>
      <c r="F25" s="212"/>
      <c r="G25" s="452"/>
      <c r="H25" s="3"/>
      <c r="I25" s="26"/>
      <c r="J25" s="26"/>
      <c r="K25" s="26"/>
      <c r="L25" s="26"/>
      <c r="M25" s="26"/>
      <c r="N25" s="26"/>
      <c r="O25" s="26"/>
    </row>
    <row r="26" spans="2:15" ht="17" x14ac:dyDescent="0.2">
      <c r="B26" s="3"/>
      <c r="C26" s="46"/>
      <c r="D26" s="346" t="s">
        <v>326</v>
      </c>
      <c r="E26" s="212">
        <f>(E16+E24)*'General Assumptions'!$E$51</f>
        <v>432.20466542021086</v>
      </c>
      <c r="F26" s="212">
        <f>(F16+F24+E29)*'General Assumptions'!$E$51</f>
        <v>523.98605315302802</v>
      </c>
      <c r="G26" s="452">
        <f>(G16+G24+F29)*'General Assumptions'!$E$51</f>
        <v>677.85614296032975</v>
      </c>
      <c r="H26" s="3"/>
      <c r="I26" s="26"/>
      <c r="J26" s="26"/>
      <c r="K26" s="26"/>
      <c r="L26" s="26"/>
      <c r="M26" s="26"/>
      <c r="N26" s="26"/>
      <c r="O26" s="26"/>
    </row>
    <row r="27" spans="2:15" x14ac:dyDescent="0.2">
      <c r="B27" s="3"/>
      <c r="C27" s="222"/>
      <c r="D27" s="342" t="s">
        <v>327</v>
      </c>
      <c r="E27" s="212">
        <f>E16+E24+E26</f>
        <v>14839.026846093906</v>
      </c>
      <c r="F27" s="212">
        <f>F16+F24+F26</f>
        <v>3151.1609788267228</v>
      </c>
      <c r="G27" s="452">
        <f>G16+G24+G26</f>
        <v>5282.8730833840245</v>
      </c>
      <c r="H27" s="3"/>
      <c r="I27" s="26"/>
      <c r="J27" s="26"/>
      <c r="K27" s="26"/>
      <c r="L27" s="26"/>
      <c r="M27" s="26"/>
      <c r="N27" s="26"/>
      <c r="O27" s="26"/>
    </row>
    <row r="28" spans="2:15" x14ac:dyDescent="0.2">
      <c r="B28" s="3"/>
      <c r="C28" s="222"/>
      <c r="D28" s="342" t="s">
        <v>328</v>
      </c>
      <c r="E28" s="459">
        <f>E10-E27</f>
        <v>-14839.026846093906</v>
      </c>
      <c r="F28" s="459">
        <f>F10-F27</f>
        <v>-3151.1609788267228</v>
      </c>
      <c r="G28" s="460">
        <f>G10-G27</f>
        <v>-882.87308338402454</v>
      </c>
      <c r="H28" s="3"/>
      <c r="I28" s="26"/>
      <c r="J28" s="26"/>
      <c r="K28" s="26"/>
      <c r="L28" s="26"/>
      <c r="M28" s="26"/>
      <c r="N28" s="26"/>
      <c r="O28" s="26"/>
    </row>
    <row r="29" spans="2:15" x14ac:dyDescent="0.2">
      <c r="B29" s="3"/>
      <c r="C29" s="222"/>
      <c r="D29" s="342" t="s">
        <v>329</v>
      </c>
      <c r="E29" s="459">
        <f>E27</f>
        <v>14839.026846093906</v>
      </c>
      <c r="F29" s="459">
        <f>F27+E29</f>
        <v>17990.187824920627</v>
      </c>
      <c r="G29" s="460">
        <f>F29+G27</f>
        <v>23273.060908304651</v>
      </c>
      <c r="H29" s="3"/>
      <c r="I29" s="26"/>
      <c r="J29" s="26"/>
      <c r="K29" s="26"/>
      <c r="L29" s="26"/>
      <c r="M29" s="26"/>
      <c r="N29" s="26"/>
      <c r="O29" s="26"/>
    </row>
    <row r="30" spans="2:15" x14ac:dyDescent="0.2">
      <c r="B30" s="3"/>
      <c r="C30" s="222"/>
      <c r="D30" s="33"/>
      <c r="E30" s="212"/>
      <c r="F30" s="212"/>
      <c r="G30" s="452"/>
      <c r="H30" s="3"/>
      <c r="I30" s="26"/>
      <c r="J30" s="26"/>
      <c r="K30" s="26"/>
      <c r="L30" s="26"/>
      <c r="M30" s="26"/>
      <c r="N30" s="26"/>
      <c r="O30" s="26"/>
    </row>
    <row r="31" spans="2:15" x14ac:dyDescent="0.2">
      <c r="B31" s="3"/>
      <c r="C31" s="222"/>
      <c r="D31" s="342" t="s">
        <v>330</v>
      </c>
      <c r="E31" s="212"/>
      <c r="F31" s="212"/>
      <c r="G31" s="452">
        <f>G29*0.0627</f>
        <v>1459.2209189507018</v>
      </c>
      <c r="H31" s="3"/>
      <c r="I31" s="3"/>
      <c r="J31" s="3"/>
      <c r="K31" s="3"/>
      <c r="L31" s="3"/>
    </row>
    <row r="32" spans="2:15" ht="17" thickBot="1" x14ac:dyDescent="0.25">
      <c r="B32" s="3"/>
      <c r="C32" s="222"/>
      <c r="D32" s="347" t="s">
        <v>331</v>
      </c>
      <c r="E32" s="461"/>
      <c r="F32" s="461"/>
      <c r="G32" s="462">
        <f>E16+F16+G16</f>
        <v>17456.03209275</v>
      </c>
      <c r="H32" s="3"/>
      <c r="I32" s="3"/>
      <c r="J32" s="3"/>
      <c r="K32" s="3"/>
      <c r="L32" s="3"/>
    </row>
    <row r="33" spans="2:12" x14ac:dyDescent="0.2">
      <c r="B33" s="4"/>
      <c r="C33" s="4"/>
      <c r="D33" s="4"/>
      <c r="E33" s="4"/>
      <c r="F33" s="4"/>
      <c r="G33" s="4"/>
      <c r="H33" s="4"/>
      <c r="I33" s="4"/>
      <c r="J33" s="3"/>
      <c r="K33" s="3"/>
      <c r="L33" s="3"/>
    </row>
    <row r="34" spans="2:12" x14ac:dyDescent="0.2">
      <c r="B34" s="222"/>
      <c r="C34" s="222"/>
      <c r="D34" s="222"/>
      <c r="E34" s="222"/>
      <c r="F34" s="222"/>
      <c r="G34" s="222"/>
      <c r="H34" s="222"/>
      <c r="I34" s="222"/>
    </row>
    <row r="35" spans="2:12" x14ac:dyDescent="0.2">
      <c r="B35" s="222"/>
      <c r="C35" s="222"/>
      <c r="D35" s="222"/>
      <c r="E35" s="222"/>
      <c r="F35" s="222"/>
      <c r="G35" s="222"/>
      <c r="H35" s="222"/>
      <c r="I35" s="222"/>
    </row>
    <row r="36" spans="2:12" x14ac:dyDescent="0.2">
      <c r="B36" s="222"/>
      <c r="C36" s="222"/>
      <c r="D36" s="222"/>
      <c r="E36" s="222"/>
      <c r="F36" s="222"/>
      <c r="G36" s="315"/>
      <c r="H36" s="222"/>
      <c r="I36" s="222"/>
    </row>
    <row r="37" spans="2:12" x14ac:dyDescent="0.2">
      <c r="B37" s="222"/>
      <c r="C37" s="222"/>
      <c r="D37" s="222"/>
      <c r="E37" s="222"/>
      <c r="F37" s="222"/>
      <c r="G37" s="222"/>
      <c r="H37" s="222"/>
      <c r="I37" s="222"/>
    </row>
    <row r="38" spans="2:12" x14ac:dyDescent="0.2">
      <c r="B38" s="222"/>
      <c r="C38" s="222"/>
      <c r="D38" s="222"/>
      <c r="E38" s="222"/>
      <c r="F38" s="222"/>
      <c r="G38" s="222"/>
      <c r="H38" s="222"/>
      <c r="I38" s="222"/>
    </row>
    <row r="39" spans="2:12" x14ac:dyDescent="0.2">
      <c r="B39" s="222"/>
      <c r="C39" s="222"/>
      <c r="D39" s="222"/>
      <c r="E39" s="222"/>
      <c r="F39" s="222"/>
      <c r="G39" s="222"/>
      <c r="H39" s="222"/>
      <c r="I39" s="222"/>
    </row>
  </sheetData>
  <sheetProtection algorithmName="SHA-512" hashValue="6B5Tms+RDQkHH4/V5h6NEI+QDM/T86da6R6fMCr4OAyAc+bGs2stEIxI2jFfBmELYyjDrRUeOHtrWWdAoE6xsw==" saltValue="mj8NqqUuqbe6pQIlRRA1Fg==" spinCount="100000" sheet="1" objects="1" scenarios="1"/>
  <mergeCells count="3">
    <mergeCell ref="E5:G5"/>
    <mergeCell ref="I4:L4"/>
    <mergeCell ref="I5:L5"/>
  </mergeCells>
  <conditionalFormatting sqref="E28">
    <cfRule type="cellIs" dxfId="20" priority="2" operator="lessThan">
      <formula>0</formula>
    </cfRule>
  </conditionalFormatting>
  <conditionalFormatting sqref="F28:G28">
    <cfRule type="cellIs" dxfId="19" priority="1" operator="lessThan">
      <formula>0</formula>
    </cfRule>
  </conditionalFormatting>
  <dataValidations count="1">
    <dataValidation type="decimal" operator="greaterThanOrEqual" allowBlank="1" showInputMessage="1" showErrorMessage="1" sqref="J8:L20" xr:uid="{3A1A94D3-B60F-4847-B63C-78932E4256AD}">
      <formula1>0</formula1>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B0E083-0431-E340-A392-C5BCB16F675C}">
  <sheetPr>
    <tabColor theme="9" tint="0.59999389629810485"/>
  </sheetPr>
  <dimension ref="A1:BP102"/>
  <sheetViews>
    <sheetView zoomScale="80" zoomScaleNormal="80" workbookViewId="0">
      <selection activeCell="AE2" sqref="AE2"/>
    </sheetView>
  </sheetViews>
  <sheetFormatPr baseColWidth="10" defaultRowHeight="16" x14ac:dyDescent="0.2"/>
  <cols>
    <col min="1" max="1" width="10.83203125" style="3"/>
    <col min="2" max="2" width="22.83203125" style="3" bestFit="1" customWidth="1"/>
    <col min="3" max="3" width="45" style="3" bestFit="1" customWidth="1"/>
    <col min="4" max="4" width="16.33203125" style="3" customWidth="1"/>
    <col min="5" max="5" width="10.83203125" style="3"/>
    <col min="6" max="6" width="10.33203125" style="3" bestFit="1" customWidth="1"/>
    <col min="7" max="8" width="10.83203125" style="3"/>
    <col min="9" max="9" width="12" style="3" bestFit="1" customWidth="1"/>
    <col min="10" max="10" width="10.83203125" style="3"/>
    <col min="11" max="11" width="10.83203125" style="3" customWidth="1"/>
    <col min="12" max="12" width="10.83203125" style="3"/>
    <col min="13" max="37" width="12.6640625" style="3" bestFit="1" customWidth="1"/>
    <col min="38" max="67" width="10.83203125" style="3"/>
    <col min="68" max="68" width="10.83203125" style="223"/>
    <col min="69" max="16384" width="10.83203125" style="3"/>
  </cols>
  <sheetData>
    <row r="1" spans="1:68" ht="17" thickBot="1" x14ac:dyDescent="0.25"/>
    <row r="2" spans="1:68" ht="22" thickBot="1" x14ac:dyDescent="0.3">
      <c r="A2" s="4"/>
      <c r="C2" s="528" t="s">
        <v>385</v>
      </c>
      <c r="D2" s="529"/>
      <c r="E2" s="4"/>
      <c r="F2" s="540" t="s">
        <v>387</v>
      </c>
      <c r="G2" s="541"/>
      <c r="H2" s="541"/>
      <c r="I2" s="542"/>
      <c r="L2" s="533" t="s">
        <v>476</v>
      </c>
      <c r="M2" s="534"/>
      <c r="N2" s="534"/>
      <c r="O2" s="534"/>
      <c r="P2" s="534"/>
      <c r="Q2" s="535"/>
      <c r="BJ2" s="224">
        <v>0</v>
      </c>
      <c r="BP2" s="224">
        <v>0</v>
      </c>
    </row>
    <row r="3" spans="1:68" ht="18" thickTop="1" thickBot="1" x14ac:dyDescent="0.25">
      <c r="A3" s="4"/>
      <c r="C3" s="175" t="s">
        <v>72</v>
      </c>
      <c r="D3" s="471" t="s">
        <v>474</v>
      </c>
      <c r="E3" s="4"/>
      <c r="F3" s="537" t="s">
        <v>432</v>
      </c>
      <c r="G3" s="538"/>
      <c r="H3" s="538"/>
      <c r="I3" s="539"/>
      <c r="L3" s="176" t="s">
        <v>380</v>
      </c>
      <c r="M3" s="530" t="s">
        <v>381</v>
      </c>
      <c r="N3" s="531"/>
      <c r="O3" s="531"/>
      <c r="P3" s="531"/>
      <c r="Q3" s="532"/>
      <c r="BJ3" s="224">
        <v>0.01</v>
      </c>
      <c r="BP3" s="224">
        <v>0.01</v>
      </c>
    </row>
    <row r="4" spans="1:68" ht="17" thickTop="1" x14ac:dyDescent="0.2">
      <c r="A4" s="4"/>
      <c r="B4" s="294"/>
      <c r="C4" s="314"/>
      <c r="D4" s="451"/>
      <c r="E4" s="4"/>
      <c r="F4" s="7" t="s">
        <v>72</v>
      </c>
      <c r="G4" s="8"/>
      <c r="H4" s="8"/>
      <c r="I4" s="9" t="s">
        <v>45</v>
      </c>
      <c r="L4" s="177" t="s">
        <v>382</v>
      </c>
      <c r="M4" s="178">
        <f>O4*0.8</f>
        <v>3.2</v>
      </c>
      <c r="N4" s="179">
        <f>O4*0.9</f>
        <v>3.6</v>
      </c>
      <c r="O4" s="226">
        <f>IF(ISBLANK('General Assumptions'!M7),'General Assumptions'!M6,'General Assumptions'!M7)</f>
        <v>4</v>
      </c>
      <c r="P4" s="179">
        <f>O4*1.1</f>
        <v>4.4000000000000004</v>
      </c>
      <c r="Q4" s="180">
        <f>O4*1.2</f>
        <v>4.8</v>
      </c>
      <c r="BJ4" s="224">
        <v>0.02</v>
      </c>
      <c r="BP4" s="224">
        <v>0.02</v>
      </c>
    </row>
    <row r="5" spans="1:68" x14ac:dyDescent="0.2">
      <c r="A5" s="4"/>
      <c r="C5" s="181" t="s">
        <v>336</v>
      </c>
      <c r="D5" s="451"/>
      <c r="E5" s="4"/>
      <c r="F5" s="10" t="s">
        <v>181</v>
      </c>
      <c r="G5" s="1"/>
      <c r="H5" s="1"/>
      <c r="I5" s="296">
        <f>'Mature Growing Costs'!R5</f>
        <v>0</v>
      </c>
      <c r="L5" s="182">
        <f>L7*0.8</f>
        <v>1760</v>
      </c>
      <c r="M5" s="183">
        <f>(M$4*$L5)-($D$29)-(($D$12+$D$13)+((M$4*'General Assumptions'!$G$30)*IF(ISBLANK('General Assumptions'!$G$29),'General Assumptions'!$E$29,'General Assumptions'!G29))+((M$4*'General Assumptions'!$G$32)*IF(ISBLANK('General Assumptions'!$G$31),'General Assumptions'!$E$31,'General Assumptions'!$G$31)))-(M$4*IF(ISBLANK('General Assumptions'!$G$33),'General Assumptions'!$E$33,'General Assumptions'!$G$33))</f>
        <v>-2254.4552199898135</v>
      </c>
      <c r="N5" s="183">
        <f>(N$4*$L5)-($D$29)-(($D$12+$D$13)+((N$4*'General Assumptions'!$G$30)*IF(ISBLANK('General Assumptions'!$G$29),'General Assumptions'!$E$29,'General Assumptions'!H29))+((N$4*'General Assumptions'!$G$32)*IF(ISBLANK('General Assumptions'!$G$31),'General Assumptions'!$E$31,'General Assumptions'!$G$31)))-(N$4*IF(ISBLANK('General Assumptions'!$G$33),'General Assumptions'!$E$33,'General Assumptions'!$G$33))</f>
        <v>-1600.4552199898135</v>
      </c>
      <c r="O5" s="183">
        <f>(O$4*$L5)-($D$29)-(($D$12+$D$13)+((O$4*'General Assumptions'!$G$30)*IF(ISBLANK('General Assumptions'!$G$29),'General Assumptions'!$E$29,'General Assumptions'!I29))+((O$4*'General Assumptions'!$G$32)*IF(ISBLANK('General Assumptions'!$G$31),'General Assumptions'!$E$31,'General Assumptions'!$G$31)))-(O$4*IF(ISBLANK('General Assumptions'!$G$33),'General Assumptions'!$E$33,'General Assumptions'!$G$33))</f>
        <v>-946.45521998981349</v>
      </c>
      <c r="P5" s="183">
        <f>(P$4*$L5)-($D$29)-(($D$12+$D$13)+((P$4*'General Assumptions'!$G$30)*IF(ISBLANK('General Assumptions'!$G$29),'General Assumptions'!$E$29,'General Assumptions'!J29))+((P$4*'General Assumptions'!$G$32)*IF(ISBLANK('General Assumptions'!$G$31),'General Assumptions'!$E$31,'General Assumptions'!$G$31)))-(P$4*IF(ISBLANK('General Assumptions'!$G$33),'General Assumptions'!$E$33,'General Assumptions'!$G$33))</f>
        <v>-292.45521998981258</v>
      </c>
      <c r="Q5" s="184">
        <f>(Q$4*$L5)-($D$29)-(($D$12+$D$13)+((Q$4*'General Assumptions'!$G$30)*IF(ISBLANK('General Assumptions'!$G$29),'General Assumptions'!$E$29,'General Assumptions'!K29))+((Q$4*'General Assumptions'!$G$32)*IF(ISBLANK('General Assumptions'!$G$31),'General Assumptions'!$E$31,'General Assumptions'!$G$31)))-(Q$4*IF(ISBLANK('General Assumptions'!$G$33),'General Assumptions'!$E$33,'General Assumptions'!$G$33))</f>
        <v>361.54478001018651</v>
      </c>
      <c r="AF5" s="26"/>
      <c r="AG5" s="26"/>
      <c r="AH5" s="26"/>
      <c r="AI5" s="26"/>
      <c r="AJ5" s="26"/>
      <c r="AK5" s="26"/>
      <c r="AL5" s="26"/>
      <c r="AM5" s="26"/>
      <c r="AN5" s="26"/>
      <c r="AO5" s="26"/>
      <c r="AP5" s="26"/>
      <c r="AQ5" s="26"/>
      <c r="AR5" s="26"/>
      <c r="AS5" s="26"/>
      <c r="AT5" s="26"/>
      <c r="AU5" s="26"/>
      <c r="AV5" s="26"/>
      <c r="AW5" s="26"/>
      <c r="AX5" s="26"/>
      <c r="AY5" s="26"/>
      <c r="AZ5" s="26"/>
      <c r="BA5" s="26"/>
      <c r="BB5" s="26"/>
      <c r="BC5" s="26"/>
      <c r="BD5" s="26"/>
      <c r="BE5" s="26"/>
      <c r="BJ5" s="224">
        <v>0.03</v>
      </c>
      <c r="BP5" s="224">
        <v>0.03</v>
      </c>
    </row>
    <row r="6" spans="1:68" x14ac:dyDescent="0.2">
      <c r="A6" s="4"/>
      <c r="C6" s="314" t="s">
        <v>472</v>
      </c>
      <c r="D6" s="472">
        <f>IF(ISBLANK('General Assumptions'!M7),'General Assumptions'!M6,'General Assumptions'!M7)</f>
        <v>4</v>
      </c>
      <c r="E6" s="4"/>
      <c r="F6" s="10" t="s">
        <v>184</v>
      </c>
      <c r="G6" s="1"/>
      <c r="H6" s="1"/>
      <c r="I6" s="297">
        <f>'Mature Growing Costs'!R6</f>
        <v>0</v>
      </c>
      <c r="L6" s="182">
        <f>L7*0.9</f>
        <v>1980</v>
      </c>
      <c r="M6" s="183">
        <f>(M$4*$L6)-($D$29)-(($D$12+$D$13)+((M$4*'General Assumptions'!$G$30)*IF(ISBLANK('General Assumptions'!$G$29),'General Assumptions'!$E$29,'General Assumptions'!G30))+((M$4*'General Assumptions'!$G$32)*IF(ISBLANK('General Assumptions'!$G$31),'General Assumptions'!$E$31,'General Assumptions'!$G$31)))-(M$4*IF(ISBLANK('General Assumptions'!$G$33),'General Assumptions'!$E$33,'General Assumptions'!$G$33))</f>
        <v>-1550.4552199898135</v>
      </c>
      <c r="N6" s="183">
        <f>(N$4*$L6)-($D$29)-(($D$12+$D$13)+((N$4*'General Assumptions'!$G$30)*IF(ISBLANK('General Assumptions'!$G$29),'General Assumptions'!$E$29,'General Assumptions'!H30))+((N$4*'General Assumptions'!$G$32)*IF(ISBLANK('General Assumptions'!$G$31),'General Assumptions'!$E$31,'General Assumptions'!$G$31)))-(N$4*IF(ISBLANK('General Assumptions'!$G$33),'General Assumptions'!$E$33,'General Assumptions'!$G$33))</f>
        <v>-808.45521998981349</v>
      </c>
      <c r="O6" s="183">
        <f>(O$4*$L6)-($D$29)-(($D$12+$D$13)+((O$4*'General Assumptions'!$G$30)*IF(ISBLANK('General Assumptions'!$G$29),'General Assumptions'!$E$29,'General Assumptions'!I30))+((O$4*'General Assumptions'!$G$32)*IF(ISBLANK('General Assumptions'!$G$31),'General Assumptions'!$E$31,'General Assumptions'!$G$31)))-(O$4*IF(ISBLANK('General Assumptions'!$G$33),'General Assumptions'!$E$33,'General Assumptions'!$G$33))</f>
        <v>-66.455219989813486</v>
      </c>
      <c r="P6" s="183">
        <f>(P$4*$L6)-($D$29)-(($D$12+$D$13)+((P$4*'General Assumptions'!$G$30)*IF(ISBLANK('General Assumptions'!$G$29),'General Assumptions'!$E$29,'General Assumptions'!J30))+((P$4*'General Assumptions'!$G$32)*IF(ISBLANK('General Assumptions'!$G$31),'General Assumptions'!$E$31,'General Assumptions'!$G$31)))-(P$4*IF(ISBLANK('General Assumptions'!$G$33),'General Assumptions'!$E$33,'General Assumptions'!$G$33))</f>
        <v>675.54478001018651</v>
      </c>
      <c r="Q6" s="184">
        <f>(Q$4*$L6)-($D$29)-(($D$12+$D$13)+((Q$4*'General Assumptions'!$G$30)*IF(ISBLANK('General Assumptions'!$G$29),'General Assumptions'!$E$29,'General Assumptions'!K30))+((Q$4*'General Assumptions'!$G$32)*IF(ISBLANK('General Assumptions'!$G$31),'General Assumptions'!$E$31,'General Assumptions'!$G$31)))-(Q$4*IF(ISBLANK('General Assumptions'!$G$33),'General Assumptions'!$E$33,'General Assumptions'!$G$33))</f>
        <v>1417.5447800101865</v>
      </c>
      <c r="AF6" s="26"/>
      <c r="AG6" s="26"/>
      <c r="AH6" s="26"/>
      <c r="AI6" s="26"/>
      <c r="AJ6" s="26"/>
      <c r="AK6" s="26"/>
      <c r="AL6" s="26"/>
      <c r="AM6" s="26"/>
      <c r="AN6" s="26"/>
      <c r="AO6" s="26"/>
      <c r="AP6" s="26"/>
      <c r="AQ6" s="26"/>
      <c r="AR6" s="26"/>
      <c r="AS6" s="26"/>
      <c r="AT6" s="26"/>
      <c r="AU6" s="26"/>
      <c r="AV6" s="26"/>
      <c r="AW6" s="26"/>
      <c r="AX6" s="26"/>
      <c r="AY6" s="26"/>
      <c r="AZ6" s="26"/>
      <c r="BA6" s="26"/>
      <c r="BB6" s="26"/>
      <c r="BC6" s="26"/>
      <c r="BD6" s="26"/>
      <c r="BE6" s="26"/>
      <c r="BJ6" s="224">
        <v>0.04</v>
      </c>
      <c r="BP6" s="224">
        <v>0.04</v>
      </c>
    </row>
    <row r="7" spans="1:68" x14ac:dyDescent="0.2">
      <c r="A7" s="4"/>
      <c r="C7" s="314" t="s">
        <v>337</v>
      </c>
      <c r="D7" s="452">
        <f>IF(ISBLANK('General Assumptions'!L9),'General Assumptions'!L8,'General Assumptions'!L9)</f>
        <v>2200</v>
      </c>
      <c r="E7" s="4"/>
      <c r="F7" s="10" t="s">
        <v>525</v>
      </c>
      <c r="G7" s="1"/>
      <c r="H7" s="1"/>
      <c r="I7" s="296">
        <f>'Mature Growing Costs'!R7</f>
        <v>143.56882000000002</v>
      </c>
      <c r="L7" s="227">
        <f>IF(ISBLANK('General Assumptions'!L9),'General Assumptions'!L8,'General Assumptions'!L9)</f>
        <v>2200</v>
      </c>
      <c r="M7" s="183">
        <f>(M$4*$L7)-($D$29)-(($D$12+$D$13)+((M$4*'General Assumptions'!$G$30)*IF(ISBLANK('General Assumptions'!$G$29),'General Assumptions'!$E$29,'General Assumptions'!G31))+((M$4*'General Assumptions'!$G$32)*IF(ISBLANK('General Assumptions'!$G$31),'General Assumptions'!$E$31,'General Assumptions'!$G$31)))-(M$4*IF(ISBLANK('General Assumptions'!$G$33),'General Assumptions'!$E$33,'General Assumptions'!$G$33))</f>
        <v>-846.45521998981349</v>
      </c>
      <c r="N7" s="183">
        <f>(N$4*$L7)-($D$29)-(($D$12+$D$13)+((N$4*'General Assumptions'!$G$30)*IF(ISBLANK('General Assumptions'!$G$29),'General Assumptions'!$E$29,'General Assumptions'!H31))+((N$4*'General Assumptions'!$G$32)*IF(ISBLANK('General Assumptions'!$G$31),'General Assumptions'!$E$31,'General Assumptions'!$G$31)))-(N$4*IF(ISBLANK('General Assumptions'!$G$33),'General Assumptions'!$E$33,'General Assumptions'!$G$33))</f>
        <v>-16.455219989813486</v>
      </c>
      <c r="O7" s="183">
        <f>(O$4*$L7)-($D$29)-(($D$12+$D$13)+((O$4*'General Assumptions'!$G$30)*IF(ISBLANK('General Assumptions'!$G$29),'General Assumptions'!$E$29,'General Assumptions'!I31))+((O$4*'General Assumptions'!$G$32)*IF(ISBLANK('General Assumptions'!$G$31),'General Assumptions'!$E$31,'General Assumptions'!$G$31)))-(O$4*IF(ISBLANK('General Assumptions'!$G$33),'General Assumptions'!$E$33,'General Assumptions'!$G$33))</f>
        <v>813.54478001018651</v>
      </c>
      <c r="P7" s="183">
        <f>(P$4*$L7)-($D$29)-(($D$12+$D$13)+((P$4*'General Assumptions'!$G$30)*IF(ISBLANK('General Assumptions'!$G$29),'General Assumptions'!$E$29,'General Assumptions'!J31))+((P$4*'General Assumptions'!$G$32)*IF(ISBLANK('General Assumptions'!$G$31),'General Assumptions'!$E$31,'General Assumptions'!$G$31)))-(P$4*IF(ISBLANK('General Assumptions'!$G$33),'General Assumptions'!$E$33,'General Assumptions'!$G$33))</f>
        <v>1643.5447800101865</v>
      </c>
      <c r="Q7" s="184">
        <f>(Q$4*$L7)-($D$29)-(($D$12+$D$13)+((Q$4*'General Assumptions'!$G$30)*IF(ISBLANK('General Assumptions'!$G$29),'General Assumptions'!$E$29,'General Assumptions'!K31))+((Q$4*'General Assumptions'!$G$32)*IF(ISBLANK('General Assumptions'!$G$31),'General Assumptions'!$E$31,'General Assumptions'!$G$31)))-(Q$4*IF(ISBLANK('General Assumptions'!$G$33),'General Assumptions'!$E$33,'General Assumptions'!$G$33))</f>
        <v>2473.5447800101865</v>
      </c>
      <c r="AF7" s="26"/>
      <c r="AG7" s="26"/>
      <c r="AH7" s="26"/>
      <c r="AI7" s="26"/>
      <c r="AJ7" s="26"/>
      <c r="AK7" s="26"/>
      <c r="AL7" s="26"/>
      <c r="AM7" s="26"/>
      <c r="AN7" s="26"/>
      <c r="AO7" s="26"/>
      <c r="AP7" s="26"/>
      <c r="AQ7" s="26"/>
      <c r="AR7" s="26"/>
      <c r="AS7" s="26"/>
      <c r="AT7" s="26"/>
      <c r="AU7" s="26"/>
      <c r="AV7" s="26"/>
      <c r="AW7" s="26"/>
      <c r="AX7" s="26"/>
      <c r="AY7" s="26"/>
      <c r="AZ7" s="26"/>
      <c r="BA7" s="26"/>
      <c r="BB7" s="26"/>
      <c r="BC7" s="26"/>
      <c r="BD7" s="26"/>
      <c r="BE7" s="26"/>
      <c r="BJ7" s="224">
        <v>0.05</v>
      </c>
      <c r="BP7" s="224">
        <v>0.05</v>
      </c>
    </row>
    <row r="8" spans="1:68" x14ac:dyDescent="0.2">
      <c r="A8" s="4"/>
      <c r="C8" s="175" t="s">
        <v>338</v>
      </c>
      <c r="D8" s="473">
        <f>D6*D7</f>
        <v>8800</v>
      </c>
      <c r="E8" s="4"/>
      <c r="F8" s="10" t="s">
        <v>189</v>
      </c>
      <c r="G8" s="1"/>
      <c r="H8" s="1"/>
      <c r="I8" s="297">
        <f>'Mature Growing Costs'!R8</f>
        <v>189.58763999999999</v>
      </c>
      <c r="L8" s="182">
        <f>L7*1.1</f>
        <v>2420</v>
      </c>
      <c r="M8" s="183">
        <f>(M$4*$L8)-($D$29)-(($D$12+$D$13)+((M$4*'General Assumptions'!$G$30)*IF(ISBLANK('General Assumptions'!$G$29),'General Assumptions'!$E$29,'General Assumptions'!G32))+((M$4*'General Assumptions'!$G$32)*IF(ISBLANK('General Assumptions'!$G$31),'General Assumptions'!$E$31,'General Assumptions'!$G$31)))-(M$4*IF(ISBLANK('General Assumptions'!$G$33),'General Assumptions'!$E$33,'General Assumptions'!$G$33))</f>
        <v>-142.45521998981349</v>
      </c>
      <c r="N8" s="183">
        <f>(N$4*$L8)-($D$29)-(($D$12+$D$13)+((N$4*'General Assumptions'!$G$30)*IF(ISBLANK('General Assumptions'!$G$29),'General Assumptions'!$E$29,'General Assumptions'!H32))+((N$4*'General Assumptions'!$G$32)*IF(ISBLANK('General Assumptions'!$G$31),'General Assumptions'!$E$31,'General Assumptions'!$G$31)))-(N$4*IF(ISBLANK('General Assumptions'!$G$33),'General Assumptions'!$E$33,'General Assumptions'!$G$33))</f>
        <v>775.54478001018651</v>
      </c>
      <c r="O8" s="183">
        <f>(O$4*$L8)-($D$29)-(($D$12+$D$13)+((O$4*'General Assumptions'!$G$30)*IF(ISBLANK('General Assumptions'!$G$29),'General Assumptions'!$E$29,'General Assumptions'!I32))+((O$4*'General Assumptions'!$G$32)*IF(ISBLANK('General Assumptions'!$G$31),'General Assumptions'!$E$31,'General Assumptions'!$G$31)))-(O$4*IF(ISBLANK('General Assumptions'!$G$33),'General Assumptions'!$E$33,'General Assumptions'!$G$33))</f>
        <v>1693.5447800101865</v>
      </c>
      <c r="P8" s="183">
        <f>(P$4*$L8)-($D$29)-(($D$12+$D$13)+((P$4*'General Assumptions'!$G$30)*IF(ISBLANK('General Assumptions'!$G$29),'General Assumptions'!$E$29,'General Assumptions'!J32))+((P$4*'General Assumptions'!$G$32)*IF(ISBLANK('General Assumptions'!$G$31),'General Assumptions'!$E$31,'General Assumptions'!$G$31)))-(P$4*IF(ISBLANK('General Assumptions'!$G$33),'General Assumptions'!$E$33,'General Assumptions'!$G$33))</f>
        <v>2611.5447800101865</v>
      </c>
      <c r="Q8" s="184">
        <f>(Q$4*$L8)-($D$29)-(($D$12+$D$13)+((Q$4*'General Assumptions'!$G$30)*IF(ISBLANK('General Assumptions'!$G$29),'General Assumptions'!$E$29,'General Assumptions'!K32))+((Q$4*'General Assumptions'!$G$32)*IF(ISBLANK('General Assumptions'!$G$31),'General Assumptions'!$E$31,'General Assumptions'!$G$31)))-(Q$4*IF(ISBLANK('General Assumptions'!$G$33),'General Assumptions'!$E$33,'General Assumptions'!$G$33))</f>
        <v>3529.5447800101856</v>
      </c>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J8" s="224">
        <v>0.06</v>
      </c>
      <c r="BP8" s="224">
        <v>0.06</v>
      </c>
    </row>
    <row r="9" spans="1:68" ht="17" thickBot="1" x14ac:dyDescent="0.25">
      <c r="A9" s="4"/>
      <c r="B9" s="348"/>
      <c r="C9" s="314"/>
      <c r="D9" s="452"/>
      <c r="E9" s="4"/>
      <c r="F9" s="10" t="s">
        <v>192</v>
      </c>
      <c r="G9" s="1"/>
      <c r="H9" s="1"/>
      <c r="I9" s="296">
        <f>'Mature Growing Costs'!R9</f>
        <v>460</v>
      </c>
      <c r="L9" s="185">
        <f>L7*1.2</f>
        <v>2640</v>
      </c>
      <c r="M9" s="186">
        <f>(M$4*$L9)-($D$29)-(($D$12+$D$13)+((M$4*'General Assumptions'!$G$30)*IF(ISBLANK('General Assumptions'!$G$29),'General Assumptions'!$E$29,'General Assumptions'!G33))+((M$4*'General Assumptions'!$G$32)*IF(ISBLANK('General Assumptions'!$G$31),'General Assumptions'!$E$31,'General Assumptions'!$G$31)))-(M$4*IF(ISBLANK('General Assumptions'!$G$33),'General Assumptions'!$E$33,'General Assumptions'!$G$33))</f>
        <v>561.54478001018651</v>
      </c>
      <c r="N9" s="186">
        <f>(N$4*$L9)-($D$29)-(($D$12+$D$13)+((N$4*'General Assumptions'!$G$30)*IF(ISBLANK('General Assumptions'!$G$29),'General Assumptions'!$E$29,'General Assumptions'!H33))+((N$4*'General Assumptions'!$G$32)*IF(ISBLANK('General Assumptions'!$G$31),'General Assumptions'!$E$31,'General Assumptions'!$G$31)))-(N$4*IF(ISBLANK('General Assumptions'!$G$33),'General Assumptions'!$E$33,'General Assumptions'!$G$33))</f>
        <v>1567.5447800101865</v>
      </c>
      <c r="O9" s="186">
        <f>(O$4*$L9)-($D$29)-(($D$12+$D$13)+((O$4*'General Assumptions'!$G$30)*IF(ISBLANK('General Assumptions'!$G$29),'General Assumptions'!$E$29,'General Assumptions'!I33))+((O$4*'General Assumptions'!$G$32)*IF(ISBLANK('General Assumptions'!$G$31),'General Assumptions'!$E$31,'General Assumptions'!$G$31)))-(O$4*IF(ISBLANK('General Assumptions'!$G$33),'General Assumptions'!$E$33,'General Assumptions'!$G$33))</f>
        <v>2573.5447800101865</v>
      </c>
      <c r="P9" s="186">
        <f>(P$4*$L9)-($D$29)-(($D$12+$D$13)+((P$4*'General Assumptions'!$G$30)*IF(ISBLANK('General Assumptions'!$G$29),'General Assumptions'!$E$29,'General Assumptions'!J33))+((P$4*'General Assumptions'!$G$32)*IF(ISBLANK('General Assumptions'!$G$31),'General Assumptions'!$E$31,'General Assumptions'!$G$31)))-(P$4*IF(ISBLANK('General Assumptions'!$G$33),'General Assumptions'!$E$33,'General Assumptions'!$G$33))</f>
        <v>3579.5447800101892</v>
      </c>
      <c r="Q9" s="187">
        <f>(Q$4*$L9)-($D$29)-(($D$12+$D$13)+((Q$4*'General Assumptions'!$G$30)*IF(ISBLANK('General Assumptions'!$G$29),'General Assumptions'!$E$29,'General Assumptions'!K33))+((Q$4*'General Assumptions'!$G$32)*IF(ISBLANK('General Assumptions'!$G$31),'General Assumptions'!$E$31,'General Assumptions'!$G$31)))-(Q$4*IF(ISBLANK('General Assumptions'!$G$33),'General Assumptions'!$E$33,'General Assumptions'!$G$33))</f>
        <v>4585.5447800101856</v>
      </c>
      <c r="AF9" s="26"/>
      <c r="AG9" s="26"/>
      <c r="AH9" s="26"/>
      <c r="AI9" s="26"/>
      <c r="AJ9" s="26"/>
      <c r="AK9" s="26"/>
      <c r="AL9" s="26"/>
      <c r="AM9" s="26"/>
      <c r="AN9" s="26"/>
      <c r="AO9" s="26"/>
      <c r="AP9" s="26"/>
      <c r="AQ9" s="26"/>
      <c r="AR9" s="26"/>
      <c r="AS9" s="26"/>
      <c r="AT9" s="26"/>
      <c r="AU9" s="26"/>
      <c r="AV9" s="26"/>
      <c r="AW9" s="26"/>
      <c r="AX9" s="26"/>
      <c r="AY9" s="26"/>
      <c r="AZ9" s="26"/>
      <c r="BA9" s="26"/>
      <c r="BB9" s="26"/>
      <c r="BC9" s="26"/>
      <c r="BD9" s="26"/>
      <c r="BE9" s="26"/>
      <c r="BJ9" s="224">
        <v>7.0000000000000007E-2</v>
      </c>
      <c r="BP9" s="224">
        <v>7.0000000000000007E-2</v>
      </c>
    </row>
    <row r="10" spans="1:68" x14ac:dyDescent="0.2">
      <c r="A10" s="4"/>
      <c r="C10" s="181" t="s">
        <v>339</v>
      </c>
      <c r="D10" s="452"/>
      <c r="E10" s="4"/>
      <c r="F10" s="10" t="s">
        <v>194</v>
      </c>
      <c r="G10" s="1"/>
      <c r="H10" s="1"/>
      <c r="I10" s="297">
        <f>'Mature Growing Costs'!R10</f>
        <v>165.26257099999998</v>
      </c>
      <c r="AL10" s="26"/>
      <c r="AM10" s="26"/>
      <c r="AN10" s="26"/>
      <c r="AO10" s="26"/>
      <c r="AP10" s="26"/>
      <c r="AQ10" s="26"/>
      <c r="AR10" s="26"/>
      <c r="AS10" s="26"/>
      <c r="AT10" s="26"/>
      <c r="AU10" s="26"/>
      <c r="AV10" s="26"/>
      <c r="AW10" s="26"/>
      <c r="AX10" s="26"/>
      <c r="AY10" s="26"/>
      <c r="AZ10" s="26"/>
      <c r="BA10" s="26"/>
      <c r="BB10" s="26"/>
      <c r="BC10" s="26"/>
      <c r="BD10" s="26"/>
      <c r="BE10" s="26"/>
      <c r="BF10" s="26"/>
      <c r="BG10" s="26"/>
      <c r="BH10" s="26"/>
      <c r="BI10" s="26"/>
      <c r="BJ10" s="26"/>
      <c r="BK10" s="26"/>
      <c r="BL10" s="26"/>
      <c r="BM10" s="26"/>
      <c r="BN10" s="26"/>
      <c r="BP10" s="224">
        <v>0.08</v>
      </c>
    </row>
    <row r="11" spans="1:68" x14ac:dyDescent="0.2">
      <c r="A11" s="4"/>
      <c r="C11" s="314" t="s">
        <v>340</v>
      </c>
      <c r="D11" s="452"/>
      <c r="E11" s="4"/>
      <c r="F11" s="10" t="s">
        <v>197</v>
      </c>
      <c r="G11" s="1"/>
      <c r="H11" s="1"/>
      <c r="I11" s="296">
        <f>'Mature Growing Costs'!R11</f>
        <v>171.45639466666668</v>
      </c>
      <c r="AL11" s="26"/>
      <c r="AM11" s="26"/>
      <c r="AN11" s="26">
        <f>IF(COUNTIF(M23:AK23,"&lt;0")&lt;26,COUNTIF(M23:AK23,"&lt;0"),"-1")</f>
        <v>25</v>
      </c>
      <c r="AO11" s="26"/>
      <c r="AP11" s="26"/>
      <c r="AQ11" s="26"/>
      <c r="AR11" s="26"/>
      <c r="AS11" s="26"/>
      <c r="AT11" s="26"/>
      <c r="AU11" s="26"/>
      <c r="AV11" s="26"/>
      <c r="AW11" s="26"/>
      <c r="AX11" s="26"/>
      <c r="AY11" s="26"/>
      <c r="AZ11" s="26"/>
      <c r="BA11" s="26"/>
      <c r="BB11" s="26"/>
      <c r="BC11" s="26"/>
      <c r="BD11" s="26"/>
      <c r="BE11" s="26"/>
      <c r="BF11" s="26"/>
      <c r="BG11" s="26"/>
      <c r="BH11" s="26"/>
      <c r="BI11" s="26"/>
      <c r="BJ11" s="26"/>
      <c r="BK11" s="26"/>
      <c r="BL11" s="26"/>
      <c r="BM11" s="26"/>
      <c r="BN11" s="26"/>
      <c r="BP11" s="224">
        <v>0.09</v>
      </c>
    </row>
    <row r="12" spans="1:68" x14ac:dyDescent="0.2">
      <c r="A12" s="4"/>
      <c r="B12" s="46"/>
      <c r="C12" s="314" t="s">
        <v>508</v>
      </c>
      <c r="D12" s="452">
        <f>I19</f>
        <v>4203.1924299166667</v>
      </c>
      <c r="E12" s="4"/>
      <c r="F12" s="10" t="s">
        <v>199</v>
      </c>
      <c r="G12" s="1"/>
      <c r="H12" s="1"/>
      <c r="I12" s="297">
        <f>'Mature Growing Costs'!R12</f>
        <v>1687.605168</v>
      </c>
      <c r="AL12" s="26"/>
      <c r="AM12" s="26"/>
      <c r="AN12" s="26"/>
      <c r="AO12" s="26"/>
      <c r="AP12" s="26"/>
      <c r="AQ12" s="26"/>
      <c r="AR12" s="26"/>
      <c r="AS12" s="26"/>
      <c r="AT12" s="26"/>
      <c r="AU12" s="26"/>
      <c r="AV12" s="26"/>
      <c r="AW12" s="26"/>
      <c r="AX12" s="26"/>
      <c r="AY12" s="26"/>
      <c r="AZ12" s="26"/>
      <c r="BA12" s="26"/>
      <c r="BB12" s="26"/>
      <c r="BC12" s="26"/>
      <c r="BD12" s="26"/>
      <c r="BE12" s="26"/>
      <c r="BF12" s="26"/>
      <c r="BG12" s="26"/>
      <c r="BH12" s="26"/>
      <c r="BI12" s="26"/>
      <c r="BJ12" s="26"/>
      <c r="BK12" s="26"/>
      <c r="BL12" s="26"/>
      <c r="BM12" s="26"/>
      <c r="BN12" s="26"/>
      <c r="BP12" s="224">
        <v>0.1</v>
      </c>
    </row>
    <row r="13" spans="1:68" ht="17" thickBot="1" x14ac:dyDescent="0.25">
      <c r="A13" s="4"/>
      <c r="B13" s="46"/>
      <c r="C13" s="314" t="s">
        <v>341</v>
      </c>
      <c r="D13" s="452">
        <f>D12*'General Assumptions'!E51*0.5</f>
        <v>63.047886448750006</v>
      </c>
      <c r="E13" s="4"/>
      <c r="F13" s="10" t="s">
        <v>203</v>
      </c>
      <c r="G13" s="1"/>
      <c r="H13" s="1"/>
      <c r="I13" s="296">
        <f>'Mature Growing Costs'!R13</f>
        <v>829.53891625000006</v>
      </c>
      <c r="AL13" s="26"/>
      <c r="AM13" s="26"/>
      <c r="AN13" s="26"/>
      <c r="AO13" s="26"/>
      <c r="AP13" s="26"/>
      <c r="AQ13" s="26"/>
      <c r="AR13" s="26"/>
      <c r="AS13" s="26"/>
      <c r="AT13" s="26"/>
      <c r="AU13" s="26"/>
      <c r="AV13" s="26"/>
      <c r="AW13" s="26"/>
      <c r="AX13" s="26"/>
      <c r="AY13" s="26"/>
      <c r="AZ13" s="26"/>
      <c r="BA13" s="26"/>
      <c r="BB13" s="26"/>
      <c r="BC13" s="26"/>
      <c r="BD13" s="26"/>
      <c r="BE13" s="26"/>
      <c r="BF13" s="26"/>
      <c r="BG13" s="26"/>
      <c r="BH13" s="26"/>
      <c r="BI13" s="26"/>
      <c r="BJ13" s="26"/>
      <c r="BK13" s="26"/>
      <c r="BL13" s="26"/>
      <c r="BM13" s="26"/>
      <c r="BN13" s="26"/>
      <c r="BP13" s="224">
        <v>0.11</v>
      </c>
    </row>
    <row r="14" spans="1:68" ht="21" x14ac:dyDescent="0.25">
      <c r="A14" s="4"/>
      <c r="C14" s="52" t="s">
        <v>509</v>
      </c>
      <c r="D14" s="452"/>
      <c r="E14" s="4"/>
      <c r="F14" s="10" t="s">
        <v>204</v>
      </c>
      <c r="G14" s="1"/>
      <c r="H14" s="1"/>
      <c r="I14" s="297">
        <f>'Mature Growing Costs'!R14</f>
        <v>203.07527999999999</v>
      </c>
      <c r="K14" s="199" t="s">
        <v>529</v>
      </c>
      <c r="L14" s="200"/>
      <c r="M14" s="200"/>
      <c r="N14" s="200"/>
      <c r="O14" s="200"/>
      <c r="P14" s="200"/>
      <c r="Q14" s="200"/>
      <c r="R14" s="200"/>
      <c r="S14" s="200"/>
      <c r="T14" s="200"/>
      <c r="U14" s="200"/>
      <c r="V14" s="200"/>
      <c r="W14" s="200"/>
      <c r="X14" s="200"/>
      <c r="Y14" s="200"/>
      <c r="Z14" s="200"/>
      <c r="AA14" s="200"/>
      <c r="AB14" s="200"/>
      <c r="AC14" s="200"/>
      <c r="AD14" s="200"/>
      <c r="AE14" s="200"/>
      <c r="AF14" s="200"/>
      <c r="AG14" s="200"/>
      <c r="AH14" s="200"/>
      <c r="AI14" s="200"/>
      <c r="AJ14" s="200"/>
      <c r="AK14" s="201"/>
      <c r="AL14" s="26"/>
      <c r="AM14" s="26"/>
      <c r="AN14" s="26"/>
      <c r="AO14" s="26"/>
      <c r="AP14" s="26"/>
      <c r="AQ14" s="26"/>
      <c r="AR14" s="26"/>
      <c r="AS14" s="26"/>
      <c r="AT14" s="26"/>
      <c r="AU14" s="26"/>
      <c r="AV14" s="26"/>
      <c r="AW14" s="26"/>
      <c r="AX14" s="26"/>
      <c r="AY14" s="26"/>
      <c r="AZ14" s="26"/>
      <c r="BA14" s="26"/>
      <c r="BB14" s="26"/>
      <c r="BC14" s="26"/>
      <c r="BD14" s="26"/>
      <c r="BE14" s="26"/>
      <c r="BF14" s="26"/>
      <c r="BG14" s="26"/>
      <c r="BH14" s="26"/>
      <c r="BI14" s="26"/>
      <c r="BJ14" s="26"/>
      <c r="BK14" s="26"/>
      <c r="BL14" s="26"/>
      <c r="BM14" s="26"/>
      <c r="BN14" s="26"/>
      <c r="BP14" s="224">
        <v>0.12</v>
      </c>
    </row>
    <row r="15" spans="1:68" x14ac:dyDescent="0.2">
      <c r="A15" s="4"/>
      <c r="B15" s="46"/>
      <c r="C15" s="314" t="s">
        <v>510</v>
      </c>
      <c r="D15" s="452">
        <f>('General Assumptions'!G32*IF(ISBLANK('General Assumptions'!G31),'General Assumptions'!E31,'General Assumptions'!G31))*D6</f>
        <v>0</v>
      </c>
      <c r="E15" s="4"/>
      <c r="F15" s="10" t="s">
        <v>206</v>
      </c>
      <c r="G15" s="1"/>
      <c r="H15" s="1"/>
      <c r="I15" s="296">
        <f>'Mature Growing Costs'!R15</f>
        <v>103.09764000000001</v>
      </c>
      <c r="K15" s="10" t="s">
        <v>115</v>
      </c>
      <c r="L15" s="1"/>
      <c r="M15" s="1">
        <v>1</v>
      </c>
      <c r="N15" s="1">
        <v>2</v>
      </c>
      <c r="O15" s="1">
        <v>3</v>
      </c>
      <c r="P15" s="1">
        <v>4</v>
      </c>
      <c r="Q15" s="1">
        <v>5</v>
      </c>
      <c r="R15" s="1">
        <v>6</v>
      </c>
      <c r="S15" s="1">
        <v>7</v>
      </c>
      <c r="T15" s="1">
        <v>8</v>
      </c>
      <c r="U15" s="1">
        <v>9</v>
      </c>
      <c r="V15" s="1">
        <v>10</v>
      </c>
      <c r="W15" s="1">
        <v>11</v>
      </c>
      <c r="X15" s="1">
        <v>12</v>
      </c>
      <c r="Y15" s="1">
        <v>13</v>
      </c>
      <c r="Z15" s="1">
        <v>14</v>
      </c>
      <c r="AA15" s="1">
        <v>15</v>
      </c>
      <c r="AB15" s="1">
        <v>16</v>
      </c>
      <c r="AC15" s="1">
        <v>17</v>
      </c>
      <c r="AD15" s="1">
        <v>18</v>
      </c>
      <c r="AE15" s="1">
        <v>19</v>
      </c>
      <c r="AF15" s="1">
        <v>20</v>
      </c>
      <c r="AG15" s="1">
        <v>21</v>
      </c>
      <c r="AH15" s="1">
        <v>22</v>
      </c>
      <c r="AI15" s="1">
        <v>23</v>
      </c>
      <c r="AJ15" s="1">
        <v>24</v>
      </c>
      <c r="AK15" s="54">
        <v>25</v>
      </c>
      <c r="AL15" s="25">
        <v>26</v>
      </c>
      <c r="AM15" s="25">
        <v>27</v>
      </c>
      <c r="AN15" s="25">
        <v>28</v>
      </c>
      <c r="AO15" s="26">
        <v>29</v>
      </c>
      <c r="AP15" s="25">
        <v>30</v>
      </c>
      <c r="AQ15" s="25">
        <v>31</v>
      </c>
      <c r="AR15" s="25">
        <v>32</v>
      </c>
      <c r="AS15" s="26">
        <v>33</v>
      </c>
      <c r="AT15" s="25">
        <v>34</v>
      </c>
      <c r="AU15" s="25">
        <v>35</v>
      </c>
      <c r="AV15" s="25">
        <v>36</v>
      </c>
      <c r="AW15" s="26">
        <v>37</v>
      </c>
      <c r="AX15" s="25">
        <v>38</v>
      </c>
      <c r="AY15" s="25">
        <v>39</v>
      </c>
      <c r="AZ15" s="25">
        <v>40</v>
      </c>
      <c r="BA15" s="26">
        <v>41</v>
      </c>
      <c r="BB15" s="25">
        <v>42</v>
      </c>
      <c r="BC15" s="25">
        <v>43</v>
      </c>
      <c r="BD15" s="25">
        <v>44</v>
      </c>
      <c r="BE15" s="26">
        <v>45</v>
      </c>
      <c r="BF15" s="25">
        <v>46</v>
      </c>
      <c r="BG15" s="25">
        <v>47</v>
      </c>
      <c r="BH15" s="25">
        <v>48</v>
      </c>
      <c r="BI15" s="26">
        <v>49</v>
      </c>
      <c r="BJ15" s="25">
        <v>50</v>
      </c>
      <c r="BK15" s="26"/>
      <c r="BL15" s="26"/>
      <c r="BM15" s="26"/>
      <c r="BN15" s="26"/>
      <c r="BP15" s="224">
        <v>0.13</v>
      </c>
    </row>
    <row r="16" spans="1:68" x14ac:dyDescent="0.2">
      <c r="A16" s="4"/>
      <c r="B16" s="46"/>
      <c r="C16" s="314" t="s">
        <v>507</v>
      </c>
      <c r="D16" s="452">
        <f>('General Assumptions'!G30*IF(ISBLANK('General Assumptions'!G29),'General Assumptions'!E29,'General Assumptions'!G29))*D6</f>
        <v>380</v>
      </c>
      <c r="E16" s="4"/>
      <c r="F16" s="10" t="s">
        <v>207</v>
      </c>
      <c r="G16" s="1"/>
      <c r="H16" s="1"/>
      <c r="I16" s="297">
        <f>'Mature Growing Costs'!R16</f>
        <v>70</v>
      </c>
      <c r="K16" s="10" t="s">
        <v>394</v>
      </c>
      <c r="L16" s="202"/>
      <c r="M16" s="300">
        <v>0</v>
      </c>
      <c r="N16" s="300">
        <v>0</v>
      </c>
      <c r="O16" s="300">
        <v>0</v>
      </c>
      <c r="P16" s="300">
        <v>0</v>
      </c>
      <c r="Q16" s="300">
        <v>0</v>
      </c>
      <c r="R16" s="300">
        <v>0</v>
      </c>
      <c r="S16" s="300">
        <v>0</v>
      </c>
      <c r="T16" s="300">
        <v>0</v>
      </c>
      <c r="U16" s="300">
        <v>0</v>
      </c>
      <c r="V16" s="300">
        <v>0</v>
      </c>
      <c r="W16" s="300">
        <v>0</v>
      </c>
      <c r="X16" s="300">
        <v>0</v>
      </c>
      <c r="Y16" s="300">
        <v>0</v>
      </c>
      <c r="Z16" s="300">
        <v>0</v>
      </c>
      <c r="AA16" s="300">
        <v>0</v>
      </c>
      <c r="AB16" s="300">
        <v>0</v>
      </c>
      <c r="AC16" s="300">
        <v>0</v>
      </c>
      <c r="AD16" s="300">
        <v>0</v>
      </c>
      <c r="AE16" s="300">
        <v>0</v>
      </c>
      <c r="AF16" s="300">
        <v>0</v>
      </c>
      <c r="AG16" s="300">
        <v>0</v>
      </c>
      <c r="AH16" s="300">
        <v>0</v>
      </c>
      <c r="AI16" s="300">
        <v>0</v>
      </c>
      <c r="AJ16" s="300">
        <v>0</v>
      </c>
      <c r="AK16" s="301">
        <v>0</v>
      </c>
      <c r="AL16" s="195">
        <v>0</v>
      </c>
      <c r="AM16" s="195">
        <v>0</v>
      </c>
      <c r="AN16" s="195">
        <v>0</v>
      </c>
      <c r="AO16" s="195">
        <v>0</v>
      </c>
      <c r="AP16" s="195">
        <v>0</v>
      </c>
      <c r="AQ16" s="195">
        <v>0</v>
      </c>
      <c r="AR16" s="195">
        <v>0</v>
      </c>
      <c r="AS16" s="195">
        <v>0</v>
      </c>
      <c r="AT16" s="195">
        <v>0</v>
      </c>
      <c r="AU16" s="195">
        <v>0</v>
      </c>
      <c r="AV16" s="195">
        <v>0</v>
      </c>
      <c r="AW16" s="195">
        <v>0</v>
      </c>
      <c r="AX16" s="195">
        <v>0</v>
      </c>
      <c r="AY16" s="195">
        <v>0</v>
      </c>
      <c r="AZ16" s="195">
        <v>0</v>
      </c>
      <c r="BA16" s="195">
        <v>0</v>
      </c>
      <c r="BB16" s="195">
        <v>0</v>
      </c>
      <c r="BC16" s="195">
        <v>0</v>
      </c>
      <c r="BD16" s="195">
        <v>0</v>
      </c>
      <c r="BE16" s="195">
        <v>0</v>
      </c>
      <c r="BF16" s="195">
        <v>0</v>
      </c>
      <c r="BG16" s="195">
        <v>0</v>
      </c>
      <c r="BH16" s="195">
        <v>0</v>
      </c>
      <c r="BI16" s="195">
        <v>0</v>
      </c>
      <c r="BJ16" s="195">
        <v>0</v>
      </c>
      <c r="BK16" s="26"/>
      <c r="BL16" s="26"/>
      <c r="BM16" s="26"/>
      <c r="BN16" s="26"/>
      <c r="BP16" s="224">
        <v>0.14000000000000001</v>
      </c>
    </row>
    <row r="17" spans="1:68" x14ac:dyDescent="0.2">
      <c r="A17" s="4"/>
      <c r="B17" s="46"/>
      <c r="C17" s="33" t="s">
        <v>342</v>
      </c>
      <c r="D17" s="452">
        <f>D6*IF(ISBLANK('General Assumptions'!G31),'General Assumptions'!E33,'General Assumptions'!G31)</f>
        <v>120</v>
      </c>
      <c r="E17" s="4"/>
      <c r="F17" s="10" t="s">
        <v>360</v>
      </c>
      <c r="G17" s="1"/>
      <c r="H17" s="1"/>
      <c r="I17" s="296">
        <f>'Mature Growing Costs'!R17</f>
        <v>71</v>
      </c>
      <c r="K17" s="10" t="s">
        <v>395</v>
      </c>
      <c r="L17" s="202"/>
      <c r="M17" s="202">
        <f>1-M16</f>
        <v>1</v>
      </c>
      <c r="N17" s="202">
        <f t="shared" ref="N17:AK17" si="0">1-N16</f>
        <v>1</v>
      </c>
      <c r="O17" s="202">
        <f t="shared" si="0"/>
        <v>1</v>
      </c>
      <c r="P17" s="202">
        <f t="shared" si="0"/>
        <v>1</v>
      </c>
      <c r="Q17" s="202">
        <f t="shared" si="0"/>
        <v>1</v>
      </c>
      <c r="R17" s="202">
        <f t="shared" si="0"/>
        <v>1</v>
      </c>
      <c r="S17" s="202">
        <f t="shared" si="0"/>
        <v>1</v>
      </c>
      <c r="T17" s="202">
        <f t="shared" si="0"/>
        <v>1</v>
      </c>
      <c r="U17" s="202">
        <f t="shared" si="0"/>
        <v>1</v>
      </c>
      <c r="V17" s="202">
        <f t="shared" si="0"/>
        <v>1</v>
      </c>
      <c r="W17" s="202">
        <f t="shared" si="0"/>
        <v>1</v>
      </c>
      <c r="X17" s="202">
        <f t="shared" si="0"/>
        <v>1</v>
      </c>
      <c r="Y17" s="202">
        <f t="shared" si="0"/>
        <v>1</v>
      </c>
      <c r="Z17" s="202">
        <f t="shared" si="0"/>
        <v>1</v>
      </c>
      <c r="AA17" s="202">
        <f t="shared" si="0"/>
        <v>1</v>
      </c>
      <c r="AB17" s="202">
        <f t="shared" si="0"/>
        <v>1</v>
      </c>
      <c r="AC17" s="202">
        <f t="shared" si="0"/>
        <v>1</v>
      </c>
      <c r="AD17" s="202">
        <f t="shared" si="0"/>
        <v>1</v>
      </c>
      <c r="AE17" s="202">
        <f t="shared" si="0"/>
        <v>1</v>
      </c>
      <c r="AF17" s="202">
        <f t="shared" si="0"/>
        <v>1</v>
      </c>
      <c r="AG17" s="202">
        <f t="shared" si="0"/>
        <v>1</v>
      </c>
      <c r="AH17" s="202">
        <f t="shared" si="0"/>
        <v>1</v>
      </c>
      <c r="AI17" s="202">
        <f t="shared" si="0"/>
        <v>1</v>
      </c>
      <c r="AJ17" s="202">
        <f t="shared" si="0"/>
        <v>1</v>
      </c>
      <c r="AK17" s="203">
        <f t="shared" si="0"/>
        <v>1</v>
      </c>
      <c r="AL17" s="196">
        <f t="shared" ref="AL17:BJ17" si="1">1-AL16</f>
        <v>1</v>
      </c>
      <c r="AM17" s="196">
        <f t="shared" si="1"/>
        <v>1</v>
      </c>
      <c r="AN17" s="196">
        <f t="shared" si="1"/>
        <v>1</v>
      </c>
      <c r="AO17" s="196">
        <f t="shared" si="1"/>
        <v>1</v>
      </c>
      <c r="AP17" s="196">
        <f t="shared" si="1"/>
        <v>1</v>
      </c>
      <c r="AQ17" s="196">
        <f t="shared" si="1"/>
        <v>1</v>
      </c>
      <c r="AR17" s="196">
        <f t="shared" si="1"/>
        <v>1</v>
      </c>
      <c r="AS17" s="196">
        <f t="shared" si="1"/>
        <v>1</v>
      </c>
      <c r="AT17" s="196">
        <f t="shared" si="1"/>
        <v>1</v>
      </c>
      <c r="AU17" s="196">
        <f t="shared" si="1"/>
        <v>1</v>
      </c>
      <c r="AV17" s="196">
        <f t="shared" si="1"/>
        <v>1</v>
      </c>
      <c r="AW17" s="196">
        <f t="shared" si="1"/>
        <v>1</v>
      </c>
      <c r="AX17" s="196">
        <f t="shared" si="1"/>
        <v>1</v>
      </c>
      <c r="AY17" s="196">
        <f t="shared" si="1"/>
        <v>1</v>
      </c>
      <c r="AZ17" s="196">
        <f t="shared" si="1"/>
        <v>1</v>
      </c>
      <c r="BA17" s="196">
        <f t="shared" si="1"/>
        <v>1</v>
      </c>
      <c r="BB17" s="196">
        <f t="shared" si="1"/>
        <v>1</v>
      </c>
      <c r="BC17" s="196">
        <f t="shared" si="1"/>
        <v>1</v>
      </c>
      <c r="BD17" s="196">
        <f t="shared" si="1"/>
        <v>1</v>
      </c>
      <c r="BE17" s="196">
        <f t="shared" si="1"/>
        <v>1</v>
      </c>
      <c r="BF17" s="196">
        <f t="shared" si="1"/>
        <v>1</v>
      </c>
      <c r="BG17" s="196">
        <f t="shared" si="1"/>
        <v>1</v>
      </c>
      <c r="BH17" s="196">
        <f t="shared" si="1"/>
        <v>1</v>
      </c>
      <c r="BI17" s="196">
        <f t="shared" si="1"/>
        <v>1</v>
      </c>
      <c r="BJ17" s="196">
        <f t="shared" si="1"/>
        <v>1</v>
      </c>
      <c r="BK17" s="26"/>
      <c r="BL17" s="26"/>
      <c r="BM17" s="26"/>
      <c r="BN17" s="26"/>
      <c r="BP17" s="224">
        <v>0.15</v>
      </c>
    </row>
    <row r="18" spans="1:68" x14ac:dyDescent="0.2">
      <c r="A18" s="4"/>
      <c r="C18" s="175" t="s">
        <v>343</v>
      </c>
      <c r="D18" s="473">
        <f>SUM(D12:D17)</f>
        <v>4766.2403163654171</v>
      </c>
      <c r="E18" s="4"/>
      <c r="F18" s="188" t="s">
        <v>362</v>
      </c>
      <c r="G18" s="11"/>
      <c r="H18" s="11"/>
      <c r="I18" s="298">
        <f>IF(ISBLANK('General Assumptions'!G42),'General Assumptions'!E42,'General Assumptions'!G42)</f>
        <v>109</v>
      </c>
      <c r="K18" s="10" t="s">
        <v>396</v>
      </c>
      <c r="L18" s="1"/>
      <c r="M18" s="1">
        <f>IF(ISBLANK('General Assumptions'!J7),'General Assumptions'!J6,'General Assumptions'!J7)*M17</f>
        <v>0</v>
      </c>
      <c r="N18" s="1">
        <f>IF(ISBLANK('General Assumptions'!K7),'General Assumptions'!K6,'General Assumptions'!K7)*N17</f>
        <v>0</v>
      </c>
      <c r="O18" s="1">
        <f>IF(ISBLANK('General Assumptions'!L7),'General Assumptions'!L6,'General Assumptions'!L7)*O17</f>
        <v>2</v>
      </c>
      <c r="P18" s="1">
        <f>IF(ISBLANK('General Assumptions'!$M$7),'General Assumptions'!$M$6,'General Assumptions'!$M$7)*P17</f>
        <v>4</v>
      </c>
      <c r="Q18" s="1">
        <f>IF(ISBLANK('General Assumptions'!$M$7),'General Assumptions'!$M$6,'General Assumptions'!$M$7)*Q17</f>
        <v>4</v>
      </c>
      <c r="R18" s="1">
        <f>IF(ISBLANK('General Assumptions'!$M$7),'General Assumptions'!$M$6,'General Assumptions'!$M$7)*R17</f>
        <v>4</v>
      </c>
      <c r="S18" s="1">
        <f>IF(ISBLANK('General Assumptions'!$M$7),'General Assumptions'!$M$6,'General Assumptions'!$M$7)*S17</f>
        <v>4</v>
      </c>
      <c r="T18" s="1">
        <f>IF(ISBLANK('General Assumptions'!$M$7),'General Assumptions'!$M$6,'General Assumptions'!$M$7)*T17</f>
        <v>4</v>
      </c>
      <c r="U18" s="1">
        <f>IF(ISBLANK('General Assumptions'!$M$7),'General Assumptions'!$M$6,'General Assumptions'!$M$7)*U17</f>
        <v>4</v>
      </c>
      <c r="V18" s="1">
        <f>IF(ISBLANK('General Assumptions'!$M$7),'General Assumptions'!$M$6,'General Assumptions'!$M$7)*V17</f>
        <v>4</v>
      </c>
      <c r="W18" s="1">
        <f>IF(ISBLANK('General Assumptions'!$M$7),'General Assumptions'!$M$6,'General Assumptions'!$M$7)*W17</f>
        <v>4</v>
      </c>
      <c r="X18" s="1">
        <f>IF(ISBLANK('General Assumptions'!$M$7),'General Assumptions'!$M$6,'General Assumptions'!$M$7)*X17</f>
        <v>4</v>
      </c>
      <c r="Y18" s="1">
        <f>IF(ISBLANK('General Assumptions'!$M$7),'General Assumptions'!$M$6,'General Assumptions'!$M$7)*Y17</f>
        <v>4</v>
      </c>
      <c r="Z18" s="1">
        <f>IF(ISBLANK('General Assumptions'!$M$7),'General Assumptions'!$M$6,'General Assumptions'!$M$7)*Z17</f>
        <v>4</v>
      </c>
      <c r="AA18" s="1">
        <f>IF(ISBLANK('General Assumptions'!$M$7),'General Assumptions'!$M$6,'General Assumptions'!$M$7)*AA17</f>
        <v>4</v>
      </c>
      <c r="AB18" s="1">
        <f>IF(ISBLANK('General Assumptions'!$M$7),'General Assumptions'!$M$6,'General Assumptions'!$M$7)*AB17</f>
        <v>4</v>
      </c>
      <c r="AC18" s="1">
        <f>IF(ISBLANK('General Assumptions'!$M$7),'General Assumptions'!$M$6,'General Assumptions'!$M$7)*AC17</f>
        <v>4</v>
      </c>
      <c r="AD18" s="1">
        <f>IF(ISBLANK('General Assumptions'!$M$7),'General Assumptions'!$M$6,'General Assumptions'!$M$7)*AD17</f>
        <v>4</v>
      </c>
      <c r="AE18" s="1">
        <f>IF(ISBLANK('General Assumptions'!$M$7),'General Assumptions'!$M$6,'General Assumptions'!$M$7)*AE17</f>
        <v>4</v>
      </c>
      <c r="AF18" s="1">
        <f>IF(ISBLANK('General Assumptions'!$M$7),'General Assumptions'!$M$6,'General Assumptions'!$M$7)*AF17</f>
        <v>4</v>
      </c>
      <c r="AG18" s="1">
        <f>IF(ISBLANK('General Assumptions'!$M$7),'General Assumptions'!$M$6,'General Assumptions'!$M$7)*AG17</f>
        <v>4</v>
      </c>
      <c r="AH18" s="1">
        <f>IF(ISBLANK('General Assumptions'!$M$7),'General Assumptions'!$M$6,'General Assumptions'!$M$7)*AH17</f>
        <v>4</v>
      </c>
      <c r="AI18" s="1">
        <f>IF(ISBLANK('General Assumptions'!$M$7),'General Assumptions'!$M$6,'General Assumptions'!$M$7)*AI17</f>
        <v>4</v>
      </c>
      <c r="AJ18" s="1">
        <f>IF(ISBLANK('General Assumptions'!$M$7),'General Assumptions'!$M$6,'General Assumptions'!$M$7)*AJ17</f>
        <v>4</v>
      </c>
      <c r="AK18" s="54">
        <f>IF(ISBLANK('General Assumptions'!$M$7),'General Assumptions'!$M$6,'General Assumptions'!$M$7)*AK17</f>
        <v>4</v>
      </c>
      <c r="AL18" s="25">
        <f>IF(ISBLANK('General Assumptions'!$M$7),'General Assumptions'!$M$6,'General Assumptions'!$M$7)*AL17</f>
        <v>4</v>
      </c>
      <c r="AM18" s="25">
        <f>IF(ISBLANK('General Assumptions'!$M$7),'General Assumptions'!$M$6,'General Assumptions'!$M$7)*AM17</f>
        <v>4</v>
      </c>
      <c r="AN18" s="25">
        <f>IF(ISBLANK('General Assumptions'!$M$7),'General Assumptions'!$M$6,'General Assumptions'!$M$7)*AN17</f>
        <v>4</v>
      </c>
      <c r="AO18" s="25">
        <f>IF(ISBLANK('General Assumptions'!$M$7),'General Assumptions'!$M$6,'General Assumptions'!$M$7)*AO17</f>
        <v>4</v>
      </c>
      <c r="AP18" s="25">
        <f>IF(ISBLANK('General Assumptions'!$M$7),'General Assumptions'!$M$6,'General Assumptions'!$M$7)*AP17</f>
        <v>4</v>
      </c>
      <c r="AQ18" s="25">
        <f>IF(ISBLANK('General Assumptions'!$M$7),'General Assumptions'!$M$6,'General Assumptions'!$M$7)*AQ17</f>
        <v>4</v>
      </c>
      <c r="AR18" s="25">
        <f>IF(ISBLANK('General Assumptions'!$M$7),'General Assumptions'!$M$6,'General Assumptions'!$M$7)*AR17</f>
        <v>4</v>
      </c>
      <c r="AS18" s="25">
        <f>IF(ISBLANK('General Assumptions'!$M$7),'General Assumptions'!$M$6,'General Assumptions'!$M$7)*AS17</f>
        <v>4</v>
      </c>
      <c r="AT18" s="25">
        <f>IF(ISBLANK('General Assumptions'!$M$7),'General Assumptions'!$M$6,'General Assumptions'!$M$7)*AT17</f>
        <v>4</v>
      </c>
      <c r="AU18" s="25">
        <f>IF(ISBLANK('General Assumptions'!$M$7),'General Assumptions'!$M$6,'General Assumptions'!$M$7)*AU17</f>
        <v>4</v>
      </c>
      <c r="AV18" s="25">
        <f>IF(ISBLANK('General Assumptions'!$M$7),'General Assumptions'!$M$6,'General Assumptions'!$M$7)*AV17</f>
        <v>4</v>
      </c>
      <c r="AW18" s="25">
        <f>IF(ISBLANK('General Assumptions'!$M$7),'General Assumptions'!$M$6,'General Assumptions'!$M$7)*AW17</f>
        <v>4</v>
      </c>
      <c r="AX18" s="25">
        <f>IF(ISBLANK('General Assumptions'!$M$7),'General Assumptions'!$M$6,'General Assumptions'!$M$7)*AX17</f>
        <v>4</v>
      </c>
      <c r="AY18" s="25">
        <f>IF(ISBLANK('General Assumptions'!$M$7),'General Assumptions'!$M$6,'General Assumptions'!$M$7)*AY17</f>
        <v>4</v>
      </c>
      <c r="AZ18" s="25">
        <f>IF(ISBLANK('General Assumptions'!$M$7),'General Assumptions'!$M$6,'General Assumptions'!$M$7)*AZ17</f>
        <v>4</v>
      </c>
      <c r="BA18" s="25">
        <f>IF(ISBLANK('General Assumptions'!$M$7),'General Assumptions'!$M$6,'General Assumptions'!$M$7)*BA17</f>
        <v>4</v>
      </c>
      <c r="BB18" s="25">
        <f>IF(ISBLANK('General Assumptions'!$M$7),'General Assumptions'!$M$6,'General Assumptions'!$M$7)*BB17</f>
        <v>4</v>
      </c>
      <c r="BC18" s="25">
        <f>IF(ISBLANK('General Assumptions'!$M$7),'General Assumptions'!$M$6,'General Assumptions'!$M$7)*BC17</f>
        <v>4</v>
      </c>
      <c r="BD18" s="25">
        <f>IF(ISBLANK('General Assumptions'!$M$7),'General Assumptions'!$M$6,'General Assumptions'!$M$7)*BD17</f>
        <v>4</v>
      </c>
      <c r="BE18" s="25">
        <f>IF(ISBLANK('General Assumptions'!$M$7),'General Assumptions'!$M$6,'General Assumptions'!$M$7)*BE17</f>
        <v>4</v>
      </c>
      <c r="BF18" s="25">
        <f>IF(ISBLANK('General Assumptions'!$M$7),'General Assumptions'!$M$6,'General Assumptions'!$M$7)*BF17</f>
        <v>4</v>
      </c>
      <c r="BG18" s="25">
        <f>IF(ISBLANK('General Assumptions'!$M$7),'General Assumptions'!$M$6,'General Assumptions'!$M$7)*BG17</f>
        <v>4</v>
      </c>
      <c r="BH18" s="25">
        <f>IF(ISBLANK('General Assumptions'!$M$7),'General Assumptions'!$M$6,'General Assumptions'!$M$7)*BH17</f>
        <v>4</v>
      </c>
      <c r="BI18" s="25">
        <f>IF(ISBLANK('General Assumptions'!$M$7),'General Assumptions'!$M$6,'General Assumptions'!$M$7)*BI17</f>
        <v>4</v>
      </c>
      <c r="BJ18" s="25">
        <f>IF(ISBLANK('General Assumptions'!$M$7),'General Assumptions'!$M$6,'General Assumptions'!$M$7)*BJ17</f>
        <v>4</v>
      </c>
      <c r="BK18" s="25"/>
      <c r="BL18" s="25"/>
      <c r="BM18" s="26"/>
      <c r="BN18" s="26"/>
      <c r="BP18" s="224">
        <v>0.16</v>
      </c>
    </row>
    <row r="19" spans="1:68" ht="17" thickBot="1" x14ac:dyDescent="0.25">
      <c r="A19" s="4"/>
      <c r="B19" s="46"/>
      <c r="C19" s="33"/>
      <c r="D19" s="451"/>
      <c r="E19" s="4"/>
      <c r="F19" s="189" t="s">
        <v>386</v>
      </c>
      <c r="G19" s="12"/>
      <c r="H19" s="12"/>
      <c r="I19" s="225">
        <f>SUM(I5:I18)</f>
        <v>4203.1924299166667</v>
      </c>
      <c r="K19" s="10" t="s">
        <v>397</v>
      </c>
      <c r="L19" s="72"/>
      <c r="M19" s="204">
        <f>IF(ISBLANK('General Assumptions'!$L$9),'General Assumptions'!$L$8,'General Assumptions'!$L$9)</f>
        <v>2200</v>
      </c>
      <c r="N19" s="204">
        <f>IF(ISBLANK('General Assumptions'!$L$9),'General Assumptions'!$L$8,'General Assumptions'!$L$9)</f>
        <v>2200</v>
      </c>
      <c r="O19" s="204">
        <f>IF(ISBLANK('General Assumptions'!$L$9),'General Assumptions'!$L$8,'General Assumptions'!$L$9)</f>
        <v>2200</v>
      </c>
      <c r="P19" s="204">
        <f>IF(ISBLANK('General Assumptions'!$L$9),'General Assumptions'!$L$8,'General Assumptions'!$L$9)</f>
        <v>2200</v>
      </c>
      <c r="Q19" s="204">
        <f>IF(ISBLANK('General Assumptions'!$L$9),'General Assumptions'!$L$8,'General Assumptions'!$L$9)*(1+$N$26)^(Q15-$P$15)</f>
        <v>2200</v>
      </c>
      <c r="R19" s="204">
        <f>IF(ISBLANK('General Assumptions'!$L$9),'General Assumptions'!$L$8,'General Assumptions'!$L$9)*(1+$N$26)^(R15-$P$15)</f>
        <v>2200</v>
      </c>
      <c r="S19" s="204">
        <f>IF(ISBLANK('General Assumptions'!$L$9),'General Assumptions'!$L$8,'General Assumptions'!$L$9)*(1+$N$26)^(S15-$P$15)</f>
        <v>2200</v>
      </c>
      <c r="T19" s="204">
        <f>IF(ISBLANK('General Assumptions'!$L$9),'General Assumptions'!$L$8,'General Assumptions'!$L$9)*(1+$N$26)^(T15-$P$15)</f>
        <v>2200</v>
      </c>
      <c r="U19" s="204">
        <f>IF(ISBLANK('General Assumptions'!$L$9),'General Assumptions'!$L$8,'General Assumptions'!$L$9)*(1+$N$26)^(U15-$P$15)</f>
        <v>2200</v>
      </c>
      <c r="V19" s="204">
        <f>IF(ISBLANK('General Assumptions'!$L$9),'General Assumptions'!$L$8,'General Assumptions'!$L$9)*(1+$N$26)^(V15-$P$15)</f>
        <v>2200</v>
      </c>
      <c r="W19" s="204">
        <f>IF(ISBLANK('General Assumptions'!$L$9),'General Assumptions'!$L$8,'General Assumptions'!$L$9)*(1+$N$26)^(W15-$P$15)</f>
        <v>2200</v>
      </c>
      <c r="X19" s="204">
        <f>IF(ISBLANK('General Assumptions'!$L$9),'General Assumptions'!$L$8,'General Assumptions'!$L$9)*(1+$N$26)^(X15-$P$15)</f>
        <v>2200</v>
      </c>
      <c r="Y19" s="204">
        <f>IF(ISBLANK('General Assumptions'!$L$9),'General Assumptions'!$L$8,'General Assumptions'!$L$9)*(1+$N$26)^(Y15-$P$15)</f>
        <v>2200</v>
      </c>
      <c r="Z19" s="204">
        <f>IF(ISBLANK('General Assumptions'!$L$9),'General Assumptions'!$L$8,'General Assumptions'!$L$9)*(1+$N$26)^(Z15-$P$15)</f>
        <v>2200</v>
      </c>
      <c r="AA19" s="204">
        <f>IF(ISBLANK('General Assumptions'!$L$9),'General Assumptions'!$L$8,'General Assumptions'!$L$9)*(1+$N$26)^(AA15-$P$15)</f>
        <v>2200</v>
      </c>
      <c r="AB19" s="204">
        <f>IF(ISBLANK('General Assumptions'!$L$9),'General Assumptions'!$L$8,'General Assumptions'!$L$9)*(1+$N$26)^(AB15-$P$15)</f>
        <v>2200</v>
      </c>
      <c r="AC19" s="204">
        <f>IF(ISBLANK('General Assumptions'!$L$9),'General Assumptions'!$L$8,'General Assumptions'!$L$9)*(1+$N$26)^(AC15-$P$15)</f>
        <v>2200</v>
      </c>
      <c r="AD19" s="204">
        <f>IF(ISBLANK('General Assumptions'!$L$9),'General Assumptions'!$L$8,'General Assumptions'!$L$9)*(1+$N$26)^(AD15-$P$15)</f>
        <v>2200</v>
      </c>
      <c r="AE19" s="204">
        <f>IF(ISBLANK('General Assumptions'!$L$9),'General Assumptions'!$L$8,'General Assumptions'!$L$9)*(1+$N$26)^(AE15-$P$15)</f>
        <v>2200</v>
      </c>
      <c r="AF19" s="204">
        <f>IF(ISBLANK('General Assumptions'!$L$9),'General Assumptions'!$L$8,'General Assumptions'!$L$9)*(1+$N$26)^(AF15-$P$15)</f>
        <v>2200</v>
      </c>
      <c r="AG19" s="204">
        <f>IF(ISBLANK('General Assumptions'!$L$9),'General Assumptions'!$L$8,'General Assumptions'!$L$9)*(1+$N$26)^(AG15-$P$15)</f>
        <v>2200</v>
      </c>
      <c r="AH19" s="204">
        <f>IF(ISBLANK('General Assumptions'!$L$9),'General Assumptions'!$L$8,'General Assumptions'!$L$9)*(1+$N$26)^(AH15-$P$15)</f>
        <v>2200</v>
      </c>
      <c r="AI19" s="204">
        <f>IF(ISBLANK('General Assumptions'!$L$9),'General Assumptions'!$L$8,'General Assumptions'!$L$9)*(1+$N$26)^(AI15-$P$15)</f>
        <v>2200</v>
      </c>
      <c r="AJ19" s="204">
        <f>IF(ISBLANK('General Assumptions'!$L$9),'General Assumptions'!$L$8,'General Assumptions'!$L$9)*(1+$N$26)^(AJ15-$P$15)</f>
        <v>2200</v>
      </c>
      <c r="AK19" s="205">
        <f>IF(ISBLANK('General Assumptions'!$L$9),'General Assumptions'!$L$8,'General Assumptions'!$L$9)*(1+$N$26)^(AK15-$P$15)</f>
        <v>2200</v>
      </c>
      <c r="AL19" s="209">
        <f>IF(ISBLANK('General Assumptions'!$L$9),'General Assumptions'!$L$8,'General Assumptions'!$L$9)*(1+$N$26)^(AL15-$P$15)</f>
        <v>2200</v>
      </c>
      <c r="AM19" s="209">
        <f>IF(ISBLANK('General Assumptions'!$L$9),'General Assumptions'!$L$8,'General Assumptions'!$L$9)*(1+$N$26)^(AM15-$P$15)</f>
        <v>2200</v>
      </c>
      <c r="AN19" s="209">
        <f>IF(ISBLANK('General Assumptions'!$L$9),'General Assumptions'!$L$8,'General Assumptions'!$L$9)*(1+$N$26)^(AN15-$P$15)</f>
        <v>2200</v>
      </c>
      <c r="AO19" s="209">
        <f>IF(ISBLANK('General Assumptions'!$L$9),'General Assumptions'!$L$8,'General Assumptions'!$L$9)*(1+$N$26)^(AO15-$P$15)</f>
        <v>2200</v>
      </c>
      <c r="AP19" s="209">
        <f>IF(ISBLANK('General Assumptions'!$L$9),'General Assumptions'!$L$8,'General Assumptions'!$L$9)*(1+$N$26)^(AP15-$P$15)</f>
        <v>2200</v>
      </c>
      <c r="AQ19" s="209">
        <f>IF(ISBLANK('General Assumptions'!$L$9),'General Assumptions'!$L$8,'General Assumptions'!$L$9)*(1+$N$26)^(AQ15-$P$15)</f>
        <v>2200</v>
      </c>
      <c r="AR19" s="209">
        <f>IF(ISBLANK('General Assumptions'!$L$9),'General Assumptions'!$L$8,'General Assumptions'!$L$9)*(1+$N$26)^(AR15-$P$15)</f>
        <v>2200</v>
      </c>
      <c r="AS19" s="209">
        <f>IF(ISBLANK('General Assumptions'!$L$9),'General Assumptions'!$L$8,'General Assumptions'!$L$9)*(1+$N$26)^(AS15-$P$15)</f>
        <v>2200</v>
      </c>
      <c r="AT19" s="209">
        <f>IF(ISBLANK('General Assumptions'!$L$9),'General Assumptions'!$L$8,'General Assumptions'!$L$9)*(1+$N$26)^(AT15-$P$15)</f>
        <v>2200</v>
      </c>
      <c r="AU19" s="209">
        <f>IF(ISBLANK('General Assumptions'!$L$9),'General Assumptions'!$L$8,'General Assumptions'!$L$9)*(1+$N$26)^(AU15-$P$15)</f>
        <v>2200</v>
      </c>
      <c r="AV19" s="209">
        <f>IF(ISBLANK('General Assumptions'!$L$9),'General Assumptions'!$L$8,'General Assumptions'!$L$9)*(1+$N$26)^(AV15-$P$15)</f>
        <v>2200</v>
      </c>
      <c r="AW19" s="209">
        <f>IF(ISBLANK('General Assumptions'!$L$9),'General Assumptions'!$L$8,'General Assumptions'!$L$9)*(1+$N$26)^(AW15-$P$15)</f>
        <v>2200</v>
      </c>
      <c r="AX19" s="209">
        <f>IF(ISBLANK('General Assumptions'!$L$9),'General Assumptions'!$L$8,'General Assumptions'!$L$9)*(1+$N$26)^(AX15-$P$15)</f>
        <v>2200</v>
      </c>
      <c r="AY19" s="209">
        <f>IF(ISBLANK('General Assumptions'!$L$9),'General Assumptions'!$L$8,'General Assumptions'!$L$9)*(1+$N$26)^(AY15-$P$15)</f>
        <v>2200</v>
      </c>
      <c r="AZ19" s="209">
        <f>IF(ISBLANK('General Assumptions'!$L$9),'General Assumptions'!$L$8,'General Assumptions'!$L$9)*(1+$N$26)^(AZ15-$P$15)</f>
        <v>2200</v>
      </c>
      <c r="BA19" s="209">
        <f>IF(ISBLANK('General Assumptions'!$L$9),'General Assumptions'!$L$8,'General Assumptions'!$L$9)*(1+$N$26)^(BA15-$P$15)</f>
        <v>2200</v>
      </c>
      <c r="BB19" s="209">
        <f>IF(ISBLANK('General Assumptions'!$L$9),'General Assumptions'!$L$8,'General Assumptions'!$L$9)*(1+$N$26)^(BB15-$P$15)</f>
        <v>2200</v>
      </c>
      <c r="BC19" s="209">
        <f>IF(ISBLANK('General Assumptions'!$L$9),'General Assumptions'!$L$8,'General Assumptions'!$L$9)*(1+$N$26)^(BC15-$P$15)</f>
        <v>2200</v>
      </c>
      <c r="BD19" s="209">
        <f>IF(ISBLANK('General Assumptions'!$L$9),'General Assumptions'!$L$8,'General Assumptions'!$L$9)*(1+$N$26)^(BD15-$P$15)</f>
        <v>2200</v>
      </c>
      <c r="BE19" s="209">
        <f>IF(ISBLANK('General Assumptions'!$L$9),'General Assumptions'!$L$8,'General Assumptions'!$L$9)*(1+$N$26)^(BE15-$P$15)</f>
        <v>2200</v>
      </c>
      <c r="BF19" s="209">
        <f>IF(ISBLANK('General Assumptions'!$L$9),'General Assumptions'!$L$8,'General Assumptions'!$L$9)*(1+$N$26)^(BF15-$P$15)</f>
        <v>2200</v>
      </c>
      <c r="BG19" s="209">
        <f>IF(ISBLANK('General Assumptions'!$L$9),'General Assumptions'!$L$8,'General Assumptions'!$L$9)*(1+$N$26)^(BG15-$P$15)</f>
        <v>2200</v>
      </c>
      <c r="BH19" s="209">
        <f>IF(ISBLANK('General Assumptions'!$L$9),'General Assumptions'!$L$8,'General Assumptions'!$L$9)*(1+$N$26)^(BH15-$P$15)</f>
        <v>2200</v>
      </c>
      <c r="BI19" s="209">
        <f>IF(ISBLANK('General Assumptions'!$L$9),'General Assumptions'!$L$8,'General Assumptions'!$L$9)*(1+$N$26)^(BI15-$P$15)</f>
        <v>2200</v>
      </c>
      <c r="BJ19" s="209">
        <f>IF(ISBLANK('General Assumptions'!$L$9),'General Assumptions'!$L$8,'General Assumptions'!$L$9)*(1+$N$26)^(BJ15-$P$15)</f>
        <v>2200</v>
      </c>
      <c r="BK19" s="209"/>
      <c r="BL19" s="209"/>
      <c r="BM19" s="26"/>
      <c r="BN19" s="26"/>
      <c r="BP19" s="224">
        <v>0.17</v>
      </c>
    </row>
    <row r="20" spans="1:68" x14ac:dyDescent="0.2">
      <c r="A20" s="4"/>
      <c r="B20" s="348"/>
      <c r="C20" s="33" t="s">
        <v>344</v>
      </c>
      <c r="D20" s="452">
        <f>'Mature Growing Costs'!K17</f>
        <v>70</v>
      </c>
      <c r="E20" s="4"/>
      <c r="K20" s="10" t="s">
        <v>398</v>
      </c>
      <c r="L20" s="72"/>
      <c r="M20" s="183">
        <f t="shared" ref="M20:AK20" si="2">M18*M19</f>
        <v>0</v>
      </c>
      <c r="N20" s="183">
        <f t="shared" si="2"/>
        <v>0</v>
      </c>
      <c r="O20" s="183">
        <f t="shared" si="2"/>
        <v>4400</v>
      </c>
      <c r="P20" s="183">
        <f t="shared" si="2"/>
        <v>8800</v>
      </c>
      <c r="Q20" s="183">
        <f t="shared" si="2"/>
        <v>8800</v>
      </c>
      <c r="R20" s="183">
        <f t="shared" si="2"/>
        <v>8800</v>
      </c>
      <c r="S20" s="183">
        <f t="shared" si="2"/>
        <v>8800</v>
      </c>
      <c r="T20" s="183">
        <f t="shared" si="2"/>
        <v>8800</v>
      </c>
      <c r="U20" s="183">
        <f t="shared" si="2"/>
        <v>8800</v>
      </c>
      <c r="V20" s="183">
        <f t="shared" si="2"/>
        <v>8800</v>
      </c>
      <c r="W20" s="183">
        <f t="shared" si="2"/>
        <v>8800</v>
      </c>
      <c r="X20" s="183">
        <f t="shared" si="2"/>
        <v>8800</v>
      </c>
      <c r="Y20" s="183">
        <f t="shared" si="2"/>
        <v>8800</v>
      </c>
      <c r="Z20" s="183">
        <f t="shared" si="2"/>
        <v>8800</v>
      </c>
      <c r="AA20" s="183">
        <f t="shared" si="2"/>
        <v>8800</v>
      </c>
      <c r="AB20" s="183">
        <f t="shared" si="2"/>
        <v>8800</v>
      </c>
      <c r="AC20" s="183">
        <f t="shared" si="2"/>
        <v>8800</v>
      </c>
      <c r="AD20" s="183">
        <f t="shared" si="2"/>
        <v>8800</v>
      </c>
      <c r="AE20" s="183">
        <f t="shared" si="2"/>
        <v>8800</v>
      </c>
      <c r="AF20" s="183">
        <f t="shared" si="2"/>
        <v>8800</v>
      </c>
      <c r="AG20" s="183">
        <f t="shared" si="2"/>
        <v>8800</v>
      </c>
      <c r="AH20" s="183">
        <f t="shared" si="2"/>
        <v>8800</v>
      </c>
      <c r="AI20" s="183">
        <f t="shared" si="2"/>
        <v>8800</v>
      </c>
      <c r="AJ20" s="183">
        <f t="shared" si="2"/>
        <v>8800</v>
      </c>
      <c r="AK20" s="184">
        <f t="shared" si="2"/>
        <v>8800</v>
      </c>
      <c r="AL20" s="198">
        <f t="shared" ref="AL20:BJ20" si="3">AL18*AL19</f>
        <v>8800</v>
      </c>
      <c r="AM20" s="198">
        <f t="shared" si="3"/>
        <v>8800</v>
      </c>
      <c r="AN20" s="198">
        <f t="shared" si="3"/>
        <v>8800</v>
      </c>
      <c r="AO20" s="198">
        <f t="shared" si="3"/>
        <v>8800</v>
      </c>
      <c r="AP20" s="198">
        <f t="shared" si="3"/>
        <v>8800</v>
      </c>
      <c r="AQ20" s="198">
        <f t="shared" si="3"/>
        <v>8800</v>
      </c>
      <c r="AR20" s="198">
        <f t="shared" si="3"/>
        <v>8800</v>
      </c>
      <c r="AS20" s="198">
        <f t="shared" si="3"/>
        <v>8800</v>
      </c>
      <c r="AT20" s="198">
        <f t="shared" si="3"/>
        <v>8800</v>
      </c>
      <c r="AU20" s="198">
        <f t="shared" si="3"/>
        <v>8800</v>
      </c>
      <c r="AV20" s="198">
        <f t="shared" si="3"/>
        <v>8800</v>
      </c>
      <c r="AW20" s="198">
        <f t="shared" si="3"/>
        <v>8800</v>
      </c>
      <c r="AX20" s="198">
        <f t="shared" si="3"/>
        <v>8800</v>
      </c>
      <c r="AY20" s="198">
        <f t="shared" si="3"/>
        <v>8800</v>
      </c>
      <c r="AZ20" s="198">
        <f t="shared" si="3"/>
        <v>8800</v>
      </c>
      <c r="BA20" s="198">
        <f t="shared" si="3"/>
        <v>8800</v>
      </c>
      <c r="BB20" s="198">
        <f t="shared" si="3"/>
        <v>8800</v>
      </c>
      <c r="BC20" s="198">
        <f t="shared" si="3"/>
        <v>8800</v>
      </c>
      <c r="BD20" s="198">
        <f t="shared" si="3"/>
        <v>8800</v>
      </c>
      <c r="BE20" s="198">
        <f t="shared" si="3"/>
        <v>8800</v>
      </c>
      <c r="BF20" s="198">
        <f t="shared" si="3"/>
        <v>8800</v>
      </c>
      <c r="BG20" s="198">
        <f t="shared" si="3"/>
        <v>8800</v>
      </c>
      <c r="BH20" s="198">
        <f t="shared" si="3"/>
        <v>8800</v>
      </c>
      <c r="BI20" s="198">
        <f t="shared" si="3"/>
        <v>8800</v>
      </c>
      <c r="BJ20" s="198">
        <f t="shared" si="3"/>
        <v>8800</v>
      </c>
      <c r="BK20" s="26"/>
      <c r="BL20" s="26"/>
      <c r="BM20" s="26"/>
      <c r="BN20" s="26"/>
      <c r="BP20" s="224">
        <v>0.18</v>
      </c>
    </row>
    <row r="21" spans="1:68" x14ac:dyDescent="0.2">
      <c r="A21" s="4"/>
      <c r="B21" s="46"/>
      <c r="C21" s="33"/>
      <c r="D21" s="451"/>
      <c r="E21" s="4"/>
      <c r="K21" s="10" t="s">
        <v>399</v>
      </c>
      <c r="L21" s="1"/>
      <c r="M21" s="204">
        <f>'V. Establishment &amp; Dev Results'!E27</f>
        <v>14839.026846093906</v>
      </c>
      <c r="N21" s="204">
        <f>'V. Establishment &amp; Dev Results'!F27</f>
        <v>3151.1609788267228</v>
      </c>
      <c r="O21" s="204">
        <f>'V. Establishment &amp; Dev Results'!G27</f>
        <v>5282.8730833840245</v>
      </c>
      <c r="P21" s="204">
        <f>D31</f>
        <v>7986.4552199898135</v>
      </c>
      <c r="Q21" s="204">
        <f t="shared" ref="Q21:BJ21" si="4">$D$31*((1+$N$27)^(Q15-4))</f>
        <v>7986.4552199898135</v>
      </c>
      <c r="R21" s="204">
        <f t="shared" si="4"/>
        <v>7986.4552199898135</v>
      </c>
      <c r="S21" s="204">
        <f t="shared" si="4"/>
        <v>7986.4552199898135</v>
      </c>
      <c r="T21" s="204">
        <f t="shared" si="4"/>
        <v>7986.4552199898135</v>
      </c>
      <c r="U21" s="204">
        <f t="shared" si="4"/>
        <v>7986.4552199898135</v>
      </c>
      <c r="V21" s="204">
        <f t="shared" si="4"/>
        <v>7986.4552199898135</v>
      </c>
      <c r="W21" s="204">
        <f t="shared" si="4"/>
        <v>7986.4552199898135</v>
      </c>
      <c r="X21" s="204">
        <f t="shared" si="4"/>
        <v>7986.4552199898135</v>
      </c>
      <c r="Y21" s="204">
        <f t="shared" si="4"/>
        <v>7986.4552199898135</v>
      </c>
      <c r="Z21" s="204">
        <f t="shared" si="4"/>
        <v>7986.4552199898135</v>
      </c>
      <c r="AA21" s="204">
        <f t="shared" si="4"/>
        <v>7986.4552199898135</v>
      </c>
      <c r="AB21" s="204">
        <f t="shared" si="4"/>
        <v>7986.4552199898135</v>
      </c>
      <c r="AC21" s="204">
        <f t="shared" si="4"/>
        <v>7986.4552199898135</v>
      </c>
      <c r="AD21" s="204">
        <f t="shared" si="4"/>
        <v>7986.4552199898135</v>
      </c>
      <c r="AE21" s="204">
        <f t="shared" si="4"/>
        <v>7986.4552199898135</v>
      </c>
      <c r="AF21" s="204">
        <f t="shared" si="4"/>
        <v>7986.4552199898135</v>
      </c>
      <c r="AG21" s="204">
        <f t="shared" si="4"/>
        <v>7986.4552199898135</v>
      </c>
      <c r="AH21" s="204">
        <f t="shared" si="4"/>
        <v>7986.4552199898135</v>
      </c>
      <c r="AI21" s="204">
        <f t="shared" si="4"/>
        <v>7986.4552199898135</v>
      </c>
      <c r="AJ21" s="204">
        <f t="shared" si="4"/>
        <v>7986.4552199898135</v>
      </c>
      <c r="AK21" s="205">
        <f t="shared" si="4"/>
        <v>7986.4552199898135</v>
      </c>
      <c r="AL21" s="197">
        <f t="shared" si="4"/>
        <v>7986.4552199898135</v>
      </c>
      <c r="AM21" s="197">
        <f t="shared" si="4"/>
        <v>7986.4552199898135</v>
      </c>
      <c r="AN21" s="197">
        <f t="shared" si="4"/>
        <v>7986.4552199898135</v>
      </c>
      <c r="AO21" s="197">
        <f t="shared" si="4"/>
        <v>7986.4552199898135</v>
      </c>
      <c r="AP21" s="197">
        <f t="shared" si="4"/>
        <v>7986.4552199898135</v>
      </c>
      <c r="AQ21" s="197">
        <f t="shared" si="4"/>
        <v>7986.4552199898135</v>
      </c>
      <c r="AR21" s="197">
        <f t="shared" si="4"/>
        <v>7986.4552199898135</v>
      </c>
      <c r="AS21" s="197">
        <f t="shared" si="4"/>
        <v>7986.4552199898135</v>
      </c>
      <c r="AT21" s="197">
        <f t="shared" si="4"/>
        <v>7986.4552199898135</v>
      </c>
      <c r="AU21" s="197">
        <f t="shared" si="4"/>
        <v>7986.4552199898135</v>
      </c>
      <c r="AV21" s="197">
        <f t="shared" si="4"/>
        <v>7986.4552199898135</v>
      </c>
      <c r="AW21" s="197">
        <f t="shared" si="4"/>
        <v>7986.4552199898135</v>
      </c>
      <c r="AX21" s="197">
        <f t="shared" si="4"/>
        <v>7986.4552199898135</v>
      </c>
      <c r="AY21" s="197">
        <f t="shared" si="4"/>
        <v>7986.4552199898135</v>
      </c>
      <c r="AZ21" s="197">
        <f t="shared" si="4"/>
        <v>7986.4552199898135</v>
      </c>
      <c r="BA21" s="197">
        <f t="shared" si="4"/>
        <v>7986.4552199898135</v>
      </c>
      <c r="BB21" s="197">
        <f t="shared" si="4"/>
        <v>7986.4552199898135</v>
      </c>
      <c r="BC21" s="197">
        <f t="shared" si="4"/>
        <v>7986.4552199898135</v>
      </c>
      <c r="BD21" s="197">
        <f t="shared" si="4"/>
        <v>7986.4552199898135</v>
      </c>
      <c r="BE21" s="197">
        <f t="shared" si="4"/>
        <v>7986.4552199898135</v>
      </c>
      <c r="BF21" s="197">
        <f t="shared" si="4"/>
        <v>7986.4552199898135</v>
      </c>
      <c r="BG21" s="197">
        <f t="shared" si="4"/>
        <v>7986.4552199898135</v>
      </c>
      <c r="BH21" s="197">
        <f t="shared" si="4"/>
        <v>7986.4552199898135</v>
      </c>
      <c r="BI21" s="197">
        <f t="shared" si="4"/>
        <v>7986.4552199898135</v>
      </c>
      <c r="BJ21" s="197">
        <f t="shared" si="4"/>
        <v>7986.4552199898135</v>
      </c>
      <c r="BK21" s="26"/>
      <c r="BL21" s="26"/>
      <c r="BM21" s="26"/>
      <c r="BN21" s="26"/>
      <c r="BP21" s="224">
        <v>0.19</v>
      </c>
    </row>
    <row r="22" spans="1:68" x14ac:dyDescent="0.2">
      <c r="A22" s="4"/>
      <c r="C22" s="314" t="s">
        <v>345</v>
      </c>
      <c r="D22" s="452"/>
      <c r="E22" s="4"/>
      <c r="K22" s="10" t="s">
        <v>528</v>
      </c>
      <c r="L22" s="1"/>
      <c r="M22" s="204">
        <f>M20-M21</f>
        <v>-14839.026846093906</v>
      </c>
      <c r="N22" s="204">
        <f t="shared" ref="N22:AK22" si="5">N20-N21</f>
        <v>-3151.1609788267228</v>
      </c>
      <c r="O22" s="204">
        <f t="shared" si="5"/>
        <v>-882.87308338402454</v>
      </c>
      <c r="P22" s="204">
        <f t="shared" si="5"/>
        <v>813.54478001018651</v>
      </c>
      <c r="Q22" s="204">
        <f t="shared" si="5"/>
        <v>813.54478001018651</v>
      </c>
      <c r="R22" s="204">
        <f t="shared" si="5"/>
        <v>813.54478001018651</v>
      </c>
      <c r="S22" s="204">
        <f t="shared" si="5"/>
        <v>813.54478001018651</v>
      </c>
      <c r="T22" s="204">
        <f t="shared" si="5"/>
        <v>813.54478001018651</v>
      </c>
      <c r="U22" s="204">
        <f t="shared" si="5"/>
        <v>813.54478001018651</v>
      </c>
      <c r="V22" s="204">
        <f t="shared" si="5"/>
        <v>813.54478001018651</v>
      </c>
      <c r="W22" s="204">
        <f t="shared" si="5"/>
        <v>813.54478001018651</v>
      </c>
      <c r="X22" s="204">
        <f t="shared" si="5"/>
        <v>813.54478001018651</v>
      </c>
      <c r="Y22" s="204">
        <f t="shared" si="5"/>
        <v>813.54478001018651</v>
      </c>
      <c r="Z22" s="204">
        <f t="shared" si="5"/>
        <v>813.54478001018651</v>
      </c>
      <c r="AA22" s="204">
        <f t="shared" si="5"/>
        <v>813.54478001018651</v>
      </c>
      <c r="AB22" s="204">
        <f t="shared" si="5"/>
        <v>813.54478001018651</v>
      </c>
      <c r="AC22" s="204">
        <f t="shared" si="5"/>
        <v>813.54478001018651</v>
      </c>
      <c r="AD22" s="204">
        <f t="shared" si="5"/>
        <v>813.54478001018651</v>
      </c>
      <c r="AE22" s="204">
        <f t="shared" si="5"/>
        <v>813.54478001018651</v>
      </c>
      <c r="AF22" s="204">
        <f t="shared" si="5"/>
        <v>813.54478001018651</v>
      </c>
      <c r="AG22" s="204">
        <f t="shared" si="5"/>
        <v>813.54478001018651</v>
      </c>
      <c r="AH22" s="204">
        <f t="shared" si="5"/>
        <v>813.54478001018651</v>
      </c>
      <c r="AI22" s="204">
        <f t="shared" si="5"/>
        <v>813.54478001018651</v>
      </c>
      <c r="AJ22" s="204">
        <f t="shared" si="5"/>
        <v>813.54478001018651</v>
      </c>
      <c r="AK22" s="205">
        <f t="shared" si="5"/>
        <v>813.54478001018651</v>
      </c>
      <c r="AL22" s="197">
        <f t="shared" ref="AL22:BJ22" si="6">AL20-AL21</f>
        <v>813.54478001018651</v>
      </c>
      <c r="AM22" s="197">
        <f t="shared" si="6"/>
        <v>813.54478001018651</v>
      </c>
      <c r="AN22" s="197">
        <f t="shared" si="6"/>
        <v>813.54478001018651</v>
      </c>
      <c r="AO22" s="197">
        <f t="shared" si="6"/>
        <v>813.54478001018651</v>
      </c>
      <c r="AP22" s="197">
        <f t="shared" si="6"/>
        <v>813.54478001018651</v>
      </c>
      <c r="AQ22" s="197">
        <f t="shared" si="6"/>
        <v>813.54478001018651</v>
      </c>
      <c r="AR22" s="197">
        <f t="shared" si="6"/>
        <v>813.54478001018651</v>
      </c>
      <c r="AS22" s="197">
        <f t="shared" si="6"/>
        <v>813.54478001018651</v>
      </c>
      <c r="AT22" s="197">
        <f t="shared" si="6"/>
        <v>813.54478001018651</v>
      </c>
      <c r="AU22" s="197">
        <f t="shared" si="6"/>
        <v>813.54478001018651</v>
      </c>
      <c r="AV22" s="197">
        <f t="shared" si="6"/>
        <v>813.54478001018651</v>
      </c>
      <c r="AW22" s="197">
        <f t="shared" si="6"/>
        <v>813.54478001018651</v>
      </c>
      <c r="AX22" s="197">
        <f t="shared" si="6"/>
        <v>813.54478001018651</v>
      </c>
      <c r="AY22" s="197">
        <f t="shared" si="6"/>
        <v>813.54478001018651</v>
      </c>
      <c r="AZ22" s="197">
        <f t="shared" si="6"/>
        <v>813.54478001018651</v>
      </c>
      <c r="BA22" s="197">
        <f t="shared" si="6"/>
        <v>813.54478001018651</v>
      </c>
      <c r="BB22" s="197">
        <f t="shared" si="6"/>
        <v>813.54478001018651</v>
      </c>
      <c r="BC22" s="197">
        <f t="shared" si="6"/>
        <v>813.54478001018651</v>
      </c>
      <c r="BD22" s="197">
        <f t="shared" si="6"/>
        <v>813.54478001018651</v>
      </c>
      <c r="BE22" s="197">
        <f t="shared" si="6"/>
        <v>813.54478001018651</v>
      </c>
      <c r="BF22" s="197">
        <f t="shared" si="6"/>
        <v>813.54478001018651</v>
      </c>
      <c r="BG22" s="197">
        <f t="shared" si="6"/>
        <v>813.54478001018651</v>
      </c>
      <c r="BH22" s="197">
        <f t="shared" si="6"/>
        <v>813.54478001018651</v>
      </c>
      <c r="BI22" s="197">
        <f t="shared" si="6"/>
        <v>813.54478001018651</v>
      </c>
      <c r="BJ22" s="197">
        <f t="shared" si="6"/>
        <v>813.54478001018651</v>
      </c>
      <c r="BK22" s="26"/>
      <c r="BL22" s="26"/>
      <c r="BM22" s="26"/>
      <c r="BN22" s="26"/>
      <c r="BP22" s="224">
        <v>0.2</v>
      </c>
    </row>
    <row r="23" spans="1:68" x14ac:dyDescent="0.2">
      <c r="A23" s="4"/>
      <c r="B23" s="46"/>
      <c r="C23" s="314" t="s">
        <v>346</v>
      </c>
      <c r="D23" s="452">
        <f>'V. Establishment &amp; Dev Results'!G31</f>
        <v>1459.2209189507018</v>
      </c>
      <c r="E23" s="4"/>
      <c r="K23" s="10" t="s">
        <v>400</v>
      </c>
      <c r="L23" s="1"/>
      <c r="M23" s="204">
        <f>M22</f>
        <v>-14839.026846093906</v>
      </c>
      <c r="N23" s="204">
        <f>M23+N22</f>
        <v>-17990.187824920627</v>
      </c>
      <c r="O23" s="204">
        <f t="shared" ref="O23:AK23" si="7">N23+O22</f>
        <v>-18873.060908304651</v>
      </c>
      <c r="P23" s="204">
        <f t="shared" si="7"/>
        <v>-18059.516128294465</v>
      </c>
      <c r="Q23" s="204">
        <f t="shared" si="7"/>
        <v>-17245.971348284278</v>
      </c>
      <c r="R23" s="204">
        <f t="shared" si="7"/>
        <v>-16432.426568274092</v>
      </c>
      <c r="S23" s="204">
        <f t="shared" si="7"/>
        <v>-15618.881788263905</v>
      </c>
      <c r="T23" s="204">
        <f t="shared" si="7"/>
        <v>-14805.337008253719</v>
      </c>
      <c r="U23" s="204">
        <f t="shared" si="7"/>
        <v>-13991.792228243532</v>
      </c>
      <c r="V23" s="204">
        <f t="shared" si="7"/>
        <v>-13178.247448233345</v>
      </c>
      <c r="W23" s="204">
        <f t="shared" si="7"/>
        <v>-12364.702668223159</v>
      </c>
      <c r="X23" s="204">
        <f t="shared" si="7"/>
        <v>-11551.157888212972</v>
      </c>
      <c r="Y23" s="204">
        <f t="shared" si="7"/>
        <v>-10737.613108202786</v>
      </c>
      <c r="Z23" s="204">
        <f t="shared" si="7"/>
        <v>-9924.0683281925994</v>
      </c>
      <c r="AA23" s="204">
        <f t="shared" si="7"/>
        <v>-9110.5235481824129</v>
      </c>
      <c r="AB23" s="204">
        <f t="shared" si="7"/>
        <v>-8296.9787681722264</v>
      </c>
      <c r="AC23" s="204">
        <f t="shared" si="7"/>
        <v>-7483.4339881620399</v>
      </c>
      <c r="AD23" s="204">
        <f t="shared" si="7"/>
        <v>-6669.8892081518534</v>
      </c>
      <c r="AE23" s="204">
        <f t="shared" si="7"/>
        <v>-5856.3444281416669</v>
      </c>
      <c r="AF23" s="204">
        <f t="shared" si="7"/>
        <v>-5042.7996481314804</v>
      </c>
      <c r="AG23" s="204">
        <f t="shared" si="7"/>
        <v>-4229.2548681212938</v>
      </c>
      <c r="AH23" s="204">
        <f t="shared" si="7"/>
        <v>-3415.7100881111073</v>
      </c>
      <c r="AI23" s="204">
        <f t="shared" si="7"/>
        <v>-2602.1653081009208</v>
      </c>
      <c r="AJ23" s="204">
        <f t="shared" si="7"/>
        <v>-1788.6205280907343</v>
      </c>
      <c r="AK23" s="205">
        <f t="shared" si="7"/>
        <v>-975.07574808054778</v>
      </c>
      <c r="AL23" s="197">
        <f t="shared" ref="AL23" si="8">AK23+AL22</f>
        <v>-161.53096807036127</v>
      </c>
      <c r="AM23" s="197">
        <f t="shared" ref="AM23" si="9">AL23+AM22</f>
        <v>652.01381193982525</v>
      </c>
      <c r="AN23" s="197">
        <f t="shared" ref="AN23" si="10">AM23+AN22</f>
        <v>1465.5585919500118</v>
      </c>
      <c r="AO23" s="197">
        <f t="shared" ref="AO23" si="11">AN23+AO22</f>
        <v>2279.1033719601983</v>
      </c>
      <c r="AP23" s="197">
        <f t="shared" ref="AP23" si="12">AO23+AP22</f>
        <v>3092.6481519703848</v>
      </c>
      <c r="AQ23" s="197">
        <f t="shared" ref="AQ23" si="13">AP23+AQ22</f>
        <v>3906.1929319805713</v>
      </c>
      <c r="AR23" s="197">
        <f t="shared" ref="AR23" si="14">AQ23+AR22</f>
        <v>4719.7377119907578</v>
      </c>
      <c r="AS23" s="197">
        <f t="shared" ref="AS23" si="15">AR23+AS22</f>
        <v>5533.2824920009443</v>
      </c>
      <c r="AT23" s="197">
        <f t="shared" ref="AT23" si="16">AS23+AT22</f>
        <v>6346.8272720111308</v>
      </c>
      <c r="AU23" s="197">
        <f t="shared" ref="AU23" si="17">AT23+AU22</f>
        <v>7160.3720520213174</v>
      </c>
      <c r="AV23" s="197">
        <f t="shared" ref="AV23" si="18">AU23+AV22</f>
        <v>7973.9168320315039</v>
      </c>
      <c r="AW23" s="197">
        <f t="shared" ref="AW23" si="19">AV23+AW22</f>
        <v>8787.4616120416904</v>
      </c>
      <c r="AX23" s="197">
        <f t="shared" ref="AX23" si="20">AW23+AX22</f>
        <v>9601.0063920518769</v>
      </c>
      <c r="AY23" s="197">
        <f t="shared" ref="AY23" si="21">AX23+AY22</f>
        <v>10414.551172062063</v>
      </c>
      <c r="AZ23" s="197">
        <f t="shared" ref="AZ23" si="22">AY23+AZ22</f>
        <v>11228.09595207225</v>
      </c>
      <c r="BA23" s="197">
        <f t="shared" ref="BA23" si="23">AZ23+BA22</f>
        <v>12041.640732082436</v>
      </c>
      <c r="BB23" s="197">
        <f t="shared" ref="BB23" si="24">BA23+BB22</f>
        <v>12855.185512092623</v>
      </c>
      <c r="BC23" s="197">
        <f t="shared" ref="BC23" si="25">BB23+BC22</f>
        <v>13668.730292102809</v>
      </c>
      <c r="BD23" s="197">
        <f t="shared" ref="BD23" si="26">BC23+BD22</f>
        <v>14482.275072112996</v>
      </c>
      <c r="BE23" s="197">
        <f t="shared" ref="BE23" si="27">BD23+BE22</f>
        <v>15295.819852123182</v>
      </c>
      <c r="BF23" s="197">
        <f t="shared" ref="BF23" si="28">BE23+BF22</f>
        <v>16109.364632133369</v>
      </c>
      <c r="BG23" s="197">
        <f t="shared" ref="BG23" si="29">BF23+BG22</f>
        <v>16922.909412143556</v>
      </c>
      <c r="BH23" s="197">
        <f t="shared" ref="BH23" si="30">BG23+BH22</f>
        <v>17736.454192153742</v>
      </c>
      <c r="BI23" s="197">
        <f t="shared" ref="BI23" si="31">BH23+BI22</f>
        <v>18549.998972163929</v>
      </c>
      <c r="BJ23" s="197">
        <f t="shared" ref="BJ23" si="32">BI23+BJ22</f>
        <v>19363.543752174115</v>
      </c>
      <c r="BK23" s="26"/>
      <c r="BL23" s="26"/>
      <c r="BM23" s="26"/>
      <c r="BN23" s="26"/>
      <c r="BP23" s="224">
        <v>0.21</v>
      </c>
    </row>
    <row r="24" spans="1:68" ht="17" thickBot="1" x14ac:dyDescent="0.25">
      <c r="A24" s="4"/>
      <c r="B24" s="46"/>
      <c r="C24" s="314" t="s">
        <v>422</v>
      </c>
      <c r="D24" s="452">
        <f>'Machinery &amp; Equipment'!K40</f>
        <v>1159.3999848254402</v>
      </c>
      <c r="E24" s="4"/>
      <c r="K24" s="159" t="s">
        <v>401</v>
      </c>
      <c r="L24" s="55"/>
      <c r="M24" s="206">
        <f>M23/M15</f>
        <v>-14839.026846093906</v>
      </c>
      <c r="N24" s="206">
        <f t="shared" ref="N24:AK24" si="33">N23/N15</f>
        <v>-8995.0939124603137</v>
      </c>
      <c r="O24" s="206">
        <f t="shared" si="33"/>
        <v>-6291.0203027682173</v>
      </c>
      <c r="P24" s="206">
        <f t="shared" si="33"/>
        <v>-4514.8790320736161</v>
      </c>
      <c r="Q24" s="206">
        <f t="shared" si="33"/>
        <v>-3449.1942696568558</v>
      </c>
      <c r="R24" s="206">
        <f t="shared" si="33"/>
        <v>-2738.7377613790154</v>
      </c>
      <c r="S24" s="206">
        <f t="shared" si="33"/>
        <v>-2231.2688268948436</v>
      </c>
      <c r="T24" s="206">
        <f t="shared" si="33"/>
        <v>-1850.6671260317148</v>
      </c>
      <c r="U24" s="206">
        <f t="shared" si="33"/>
        <v>-1554.643580915948</v>
      </c>
      <c r="V24" s="206">
        <f t="shared" si="33"/>
        <v>-1317.8247448233346</v>
      </c>
      <c r="W24" s="206">
        <f t="shared" si="33"/>
        <v>-1124.063878929378</v>
      </c>
      <c r="X24" s="206">
        <f t="shared" si="33"/>
        <v>-962.59649068441433</v>
      </c>
      <c r="Y24" s="206">
        <f t="shared" si="33"/>
        <v>-825.97023909252198</v>
      </c>
      <c r="Z24" s="206">
        <f t="shared" si="33"/>
        <v>-708.86202344232856</v>
      </c>
      <c r="AA24" s="206">
        <f t="shared" si="33"/>
        <v>-607.36823654549414</v>
      </c>
      <c r="AB24" s="206">
        <f t="shared" si="33"/>
        <v>-518.56117301076415</v>
      </c>
      <c r="AC24" s="206">
        <f t="shared" si="33"/>
        <v>-440.20199930364942</v>
      </c>
      <c r="AD24" s="206">
        <f t="shared" si="33"/>
        <v>-370.54940045288072</v>
      </c>
      <c r="AE24" s="206">
        <f t="shared" si="33"/>
        <v>-308.22865411271931</v>
      </c>
      <c r="AF24" s="206">
        <f t="shared" si="33"/>
        <v>-252.13998240657401</v>
      </c>
      <c r="AG24" s="206">
        <f t="shared" si="33"/>
        <v>-201.39308895815685</v>
      </c>
      <c r="AH24" s="206">
        <f t="shared" si="33"/>
        <v>-155.25954945959577</v>
      </c>
      <c r="AI24" s="206">
        <f t="shared" si="33"/>
        <v>-113.13762209134438</v>
      </c>
      <c r="AJ24" s="206">
        <f t="shared" si="33"/>
        <v>-74.525855337113924</v>
      </c>
      <c r="AK24" s="207">
        <f t="shared" si="33"/>
        <v>-39.003029923221909</v>
      </c>
      <c r="AL24" s="197">
        <f t="shared" ref="AL24:BJ24" si="34">AL23/AL15</f>
        <v>-6.2127295411677412</v>
      </c>
      <c r="AM24" s="197">
        <f t="shared" si="34"/>
        <v>24.148659701475008</v>
      </c>
      <c r="AN24" s="197">
        <f t="shared" si="34"/>
        <v>52.341378283928989</v>
      </c>
      <c r="AO24" s="197">
        <f t="shared" si="34"/>
        <v>78.589771446903384</v>
      </c>
      <c r="AP24" s="197">
        <f t="shared" si="34"/>
        <v>103.08827173234616</v>
      </c>
      <c r="AQ24" s="197">
        <f t="shared" si="34"/>
        <v>126.0062236122765</v>
      </c>
      <c r="AR24" s="197">
        <f t="shared" si="34"/>
        <v>147.49180349971118</v>
      </c>
      <c r="AS24" s="197">
        <f t="shared" si="34"/>
        <v>167.67522703033165</v>
      </c>
      <c r="AT24" s="197">
        <f t="shared" si="34"/>
        <v>186.67139035326855</v>
      </c>
      <c r="AU24" s="197">
        <f t="shared" si="34"/>
        <v>204.58205862918049</v>
      </c>
      <c r="AV24" s="197">
        <f t="shared" si="34"/>
        <v>221.4976897786529</v>
      </c>
      <c r="AW24" s="197">
        <f t="shared" si="34"/>
        <v>237.49896248761326</v>
      </c>
      <c r="AX24" s="197">
        <f t="shared" si="34"/>
        <v>252.6580629487336</v>
      </c>
      <c r="AY24" s="197">
        <f t="shared" si="34"/>
        <v>267.03977364261704</v>
      </c>
      <c r="AZ24" s="197">
        <f t="shared" si="34"/>
        <v>280.70239880180623</v>
      </c>
      <c r="BA24" s="197">
        <f t="shared" si="34"/>
        <v>293.69855444103501</v>
      </c>
      <c r="BB24" s="197">
        <f t="shared" si="34"/>
        <v>306.07584552601486</v>
      </c>
      <c r="BC24" s="197">
        <f t="shared" si="34"/>
        <v>317.8774486535537</v>
      </c>
      <c r="BD24" s="197">
        <f t="shared" si="34"/>
        <v>329.14261527529538</v>
      </c>
      <c r="BE24" s="197">
        <f t="shared" si="34"/>
        <v>339.90710782495961</v>
      </c>
      <c r="BF24" s="197">
        <f t="shared" si="34"/>
        <v>350.20357895942107</v>
      </c>
      <c r="BG24" s="197">
        <f t="shared" si="34"/>
        <v>360.06190238603307</v>
      </c>
      <c r="BH24" s="197">
        <f t="shared" si="34"/>
        <v>369.50946233653627</v>
      </c>
      <c r="BI24" s="197">
        <f t="shared" si="34"/>
        <v>378.57140759518222</v>
      </c>
      <c r="BJ24" s="197">
        <f t="shared" si="34"/>
        <v>387.27087504348231</v>
      </c>
      <c r="BK24" s="26"/>
      <c r="BL24" s="26"/>
      <c r="BM24" s="26"/>
      <c r="BN24" s="26"/>
      <c r="BP24" s="224">
        <v>0.22</v>
      </c>
    </row>
    <row r="25" spans="1:68" x14ac:dyDescent="0.2">
      <c r="A25" s="4"/>
      <c r="B25" s="46"/>
      <c r="C25" s="314" t="s">
        <v>347</v>
      </c>
      <c r="D25" s="452">
        <f>'V. Establishment &amp; Dev Results'!E19</f>
        <v>0</v>
      </c>
      <c r="E25" s="4"/>
      <c r="AL25" s="26"/>
      <c r="AM25" s="26"/>
      <c r="AN25" s="26"/>
      <c r="AO25" s="26"/>
      <c r="AP25" s="26"/>
      <c r="AQ25" s="26"/>
      <c r="AR25" s="26"/>
      <c r="AS25" s="26"/>
      <c r="AT25" s="26"/>
      <c r="AU25" s="26"/>
      <c r="AV25" s="26"/>
      <c r="AW25" s="26"/>
      <c r="AX25" s="26"/>
      <c r="AY25" s="26"/>
      <c r="AZ25" s="26"/>
      <c r="BA25" s="26"/>
      <c r="BB25" s="26"/>
      <c r="BC25" s="26"/>
      <c r="BD25" s="26"/>
      <c r="BE25" s="26"/>
      <c r="BF25" s="26"/>
      <c r="BG25" s="26"/>
      <c r="BH25" s="26"/>
      <c r="BI25" s="26"/>
      <c r="BJ25" s="26"/>
      <c r="BK25" s="26"/>
      <c r="BL25" s="26"/>
      <c r="BM25" s="26"/>
      <c r="BN25" s="26"/>
      <c r="BP25" s="224">
        <v>0.23</v>
      </c>
    </row>
    <row r="26" spans="1:68" x14ac:dyDescent="0.2">
      <c r="A26" s="4"/>
      <c r="B26" s="46"/>
      <c r="C26" s="314" t="s">
        <v>36</v>
      </c>
      <c r="D26" s="452">
        <f>'V. Establishment &amp; Dev Results'!E21</f>
        <v>150</v>
      </c>
      <c r="E26" s="4"/>
      <c r="K26" s="536" t="s">
        <v>473</v>
      </c>
      <c r="L26" s="536"/>
      <c r="M26" s="536"/>
      <c r="N26" s="299">
        <v>0</v>
      </c>
      <c r="O26" s="3" t="s">
        <v>411</v>
      </c>
      <c r="AL26" s="26"/>
      <c r="AM26" s="26"/>
      <c r="AN26" s="26"/>
      <c r="AO26" s="26"/>
      <c r="AP26" s="26"/>
      <c r="AQ26" s="26"/>
      <c r="AR26" s="26"/>
      <c r="AS26" s="26"/>
      <c r="AT26" s="26"/>
      <c r="AU26" s="26"/>
      <c r="AV26" s="26"/>
      <c r="AW26" s="26"/>
      <c r="AX26" s="26"/>
      <c r="AY26" s="26"/>
      <c r="AZ26" s="26"/>
      <c r="BA26" s="26"/>
      <c r="BB26" s="26"/>
      <c r="BC26" s="26"/>
      <c r="BD26" s="26"/>
      <c r="BE26" s="26"/>
      <c r="BF26" s="26"/>
      <c r="BG26" s="26"/>
      <c r="BH26" s="26"/>
      <c r="BI26" s="26"/>
      <c r="BJ26" s="26"/>
      <c r="BK26" s="26"/>
      <c r="BL26" s="26"/>
      <c r="BM26" s="26"/>
      <c r="BN26" s="26"/>
      <c r="BP26" s="224">
        <v>0.24</v>
      </c>
    </row>
    <row r="27" spans="1:68" x14ac:dyDescent="0.2">
      <c r="A27" s="4"/>
      <c r="B27" s="46"/>
      <c r="C27" s="314" t="s">
        <v>34</v>
      </c>
      <c r="D27" s="452">
        <f>'V. Establishment &amp; Dev Results'!E22</f>
        <v>11.593999848254402</v>
      </c>
      <c r="E27" s="4"/>
      <c r="K27" s="536" t="s">
        <v>403</v>
      </c>
      <c r="L27" s="536"/>
      <c r="M27" s="536"/>
      <c r="N27" s="299">
        <v>0</v>
      </c>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26"/>
      <c r="BL27" s="26"/>
      <c r="BM27" s="26"/>
      <c r="BN27" s="26"/>
      <c r="BP27" s="224">
        <v>0.25</v>
      </c>
    </row>
    <row r="28" spans="1:68" x14ac:dyDescent="0.2">
      <c r="A28" s="4"/>
      <c r="B28" s="46"/>
      <c r="C28" s="314" t="s">
        <v>348</v>
      </c>
      <c r="D28" s="452">
        <f>D8*IF(ISBLANK('General Assumptions'!G45),'General Assumptions'!E45,'General Assumptions'!G45)</f>
        <v>440</v>
      </c>
      <c r="E28" s="4"/>
      <c r="K28" s="536" t="s">
        <v>402</v>
      </c>
      <c r="L28" s="536"/>
      <c r="M28" s="536"/>
      <c r="N28" s="3">
        <f>IF(COUNTIF(M23:BJ23,"&lt;0")&lt;50,COUNTIF(M23:BJ23,"&lt;0"),"Never")</f>
        <v>26</v>
      </c>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P28" s="224">
        <v>0.26</v>
      </c>
    </row>
    <row r="29" spans="1:68" x14ac:dyDescent="0.2">
      <c r="A29" s="4"/>
      <c r="C29" s="175" t="s">
        <v>349</v>
      </c>
      <c r="D29" s="473">
        <f>SUM(D23:D28)</f>
        <v>3220.2149036243964</v>
      </c>
      <c r="E29" s="4"/>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P29" s="224">
        <v>0.27</v>
      </c>
    </row>
    <row r="30" spans="1:68" x14ac:dyDescent="0.2">
      <c r="A30" s="4"/>
      <c r="C30" s="314"/>
      <c r="D30" s="452"/>
      <c r="E30" s="4"/>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P30" s="224">
        <v>0.28000000000000003</v>
      </c>
    </row>
    <row r="31" spans="1:68" x14ac:dyDescent="0.2">
      <c r="A31" s="4"/>
      <c r="C31" s="181" t="s">
        <v>350</v>
      </c>
      <c r="D31" s="474">
        <f>D29+D18</f>
        <v>7986.4552199898135</v>
      </c>
      <c r="E31" s="4"/>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P31" s="224">
        <v>0.28999999999999998</v>
      </c>
    </row>
    <row r="32" spans="1:68" x14ac:dyDescent="0.2">
      <c r="A32" s="4"/>
      <c r="C32" s="314"/>
      <c r="D32" s="452"/>
      <c r="E32" s="4"/>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P32" s="224">
        <v>0.3</v>
      </c>
    </row>
    <row r="33" spans="1:68" x14ac:dyDescent="0.2">
      <c r="A33" s="4"/>
      <c r="C33" s="181" t="s">
        <v>351</v>
      </c>
      <c r="D33" s="475">
        <f>D8-D31</f>
        <v>813.54478001018651</v>
      </c>
      <c r="E33" s="4"/>
      <c r="AL33" s="26"/>
      <c r="AM33" s="26"/>
      <c r="AN33" s="26"/>
      <c r="AO33" s="26"/>
      <c r="AP33" s="26"/>
      <c r="AQ33" s="26"/>
      <c r="AR33" s="26"/>
      <c r="AS33" s="26"/>
      <c r="AT33" s="26"/>
      <c r="AU33" s="26"/>
      <c r="AV33" s="26"/>
      <c r="AW33" s="26"/>
      <c r="AX33" s="26"/>
      <c r="AY33" s="26"/>
      <c r="AZ33" s="26"/>
      <c r="BA33" s="26"/>
      <c r="BB33" s="26"/>
      <c r="BC33" s="26"/>
      <c r="BD33" s="26"/>
      <c r="BE33" s="26"/>
      <c r="BF33" s="26"/>
      <c r="BG33" s="26"/>
      <c r="BH33" s="26"/>
      <c r="BI33" s="26"/>
      <c r="BJ33" s="26"/>
      <c r="BK33" s="26"/>
      <c r="BP33" s="224">
        <v>0.31</v>
      </c>
    </row>
    <row r="34" spans="1:68" ht="17" thickBot="1" x14ac:dyDescent="0.25">
      <c r="A34" s="4"/>
      <c r="C34" s="190"/>
      <c r="D34" s="476"/>
      <c r="E34" s="4"/>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P34" s="224">
        <v>0.32</v>
      </c>
    </row>
    <row r="35" spans="1:68" ht="17" thickTop="1" x14ac:dyDescent="0.2">
      <c r="A35" s="4"/>
      <c r="B35" s="348"/>
      <c r="C35" s="314"/>
      <c r="D35" s="452"/>
      <c r="E35" s="4"/>
      <c r="AL35" s="26"/>
      <c r="AM35" s="26"/>
      <c r="AN35" s="26"/>
      <c r="AO35" s="26"/>
      <c r="AP35" s="26"/>
      <c r="AQ35" s="26"/>
      <c r="AR35" s="26"/>
      <c r="AS35" s="26"/>
      <c r="AT35" s="26"/>
      <c r="AU35" s="26"/>
      <c r="AV35" s="26"/>
      <c r="AW35" s="26"/>
      <c r="AX35" s="26"/>
      <c r="AY35" s="26"/>
      <c r="AZ35" s="26"/>
      <c r="BA35" s="26"/>
      <c r="BB35" s="26"/>
      <c r="BC35" s="26"/>
      <c r="BD35" s="26"/>
      <c r="BE35" s="26"/>
      <c r="BF35" s="26"/>
      <c r="BG35" s="26"/>
      <c r="BH35" s="26"/>
      <c r="BI35" s="26"/>
      <c r="BJ35" s="26"/>
      <c r="BK35" s="26"/>
      <c r="BP35" s="224">
        <v>0.33</v>
      </c>
    </row>
    <row r="36" spans="1:68" ht="34" x14ac:dyDescent="0.2">
      <c r="A36" s="4"/>
      <c r="C36" s="491" t="s">
        <v>531</v>
      </c>
      <c r="D36" s="493">
        <f>D31/D6</f>
        <v>1996.6138049974534</v>
      </c>
      <c r="E36" s="4"/>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P36" s="224">
        <v>0.34</v>
      </c>
    </row>
    <row r="37" spans="1:68" x14ac:dyDescent="0.2">
      <c r="A37" s="4"/>
      <c r="C37" s="175"/>
      <c r="D37" s="494"/>
      <c r="E37" s="4"/>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P37" s="224">
        <v>0.35</v>
      </c>
    </row>
    <row r="38" spans="1:68" ht="35" thickBot="1" x14ac:dyDescent="0.25">
      <c r="C38" s="492" t="s">
        <v>532</v>
      </c>
      <c r="D38" s="495">
        <f>D31/D7</f>
        <v>3.6302069181771879</v>
      </c>
      <c r="BP38" s="224">
        <v>0.36</v>
      </c>
    </row>
    <row r="39" spans="1:68" x14ac:dyDescent="0.2">
      <c r="B39" s="4"/>
      <c r="C39" s="4"/>
      <c r="D39" s="4"/>
      <c r="BP39" s="224">
        <v>0.37</v>
      </c>
    </row>
    <row r="40" spans="1:68" x14ac:dyDescent="0.2">
      <c r="BP40" s="224">
        <v>0.38</v>
      </c>
    </row>
    <row r="41" spans="1:68" x14ac:dyDescent="0.2">
      <c r="BP41" s="224">
        <v>0.39</v>
      </c>
    </row>
    <row r="42" spans="1:68" x14ac:dyDescent="0.2">
      <c r="BP42" s="224">
        <v>0.4</v>
      </c>
    </row>
    <row r="43" spans="1:68" x14ac:dyDescent="0.2">
      <c r="BP43" s="224">
        <v>0.41</v>
      </c>
    </row>
    <row r="44" spans="1:68" x14ac:dyDescent="0.2">
      <c r="BP44" s="224">
        <v>0.42</v>
      </c>
    </row>
    <row r="45" spans="1:68" x14ac:dyDescent="0.2">
      <c r="BP45" s="224">
        <v>0.43</v>
      </c>
    </row>
    <row r="46" spans="1:68" x14ac:dyDescent="0.2">
      <c r="BP46" s="224">
        <v>0.44</v>
      </c>
    </row>
    <row r="47" spans="1:68" x14ac:dyDescent="0.2">
      <c r="BP47" s="224">
        <v>0.45</v>
      </c>
    </row>
    <row r="48" spans="1:68" x14ac:dyDescent="0.2">
      <c r="BP48" s="224">
        <v>0.46</v>
      </c>
    </row>
    <row r="49" spans="68:68" x14ac:dyDescent="0.2">
      <c r="BP49" s="224">
        <v>0.47</v>
      </c>
    </row>
    <row r="50" spans="68:68" x14ac:dyDescent="0.2">
      <c r="BP50" s="224">
        <v>0.48</v>
      </c>
    </row>
    <row r="51" spans="68:68" x14ac:dyDescent="0.2">
      <c r="BP51" s="224">
        <v>0.49</v>
      </c>
    </row>
    <row r="52" spans="68:68" x14ac:dyDescent="0.2">
      <c r="BP52" s="224">
        <v>0.5</v>
      </c>
    </row>
    <row r="53" spans="68:68" x14ac:dyDescent="0.2">
      <c r="BP53" s="224">
        <v>0.51</v>
      </c>
    </row>
    <row r="54" spans="68:68" x14ac:dyDescent="0.2">
      <c r="BP54" s="224">
        <v>0.52</v>
      </c>
    </row>
    <row r="55" spans="68:68" x14ac:dyDescent="0.2">
      <c r="BP55" s="224">
        <v>0.53</v>
      </c>
    </row>
    <row r="56" spans="68:68" x14ac:dyDescent="0.2">
      <c r="BP56" s="224">
        <v>0.54</v>
      </c>
    </row>
    <row r="57" spans="68:68" x14ac:dyDescent="0.2">
      <c r="BP57" s="224">
        <v>0.55000000000000004</v>
      </c>
    </row>
    <row r="58" spans="68:68" x14ac:dyDescent="0.2">
      <c r="BP58" s="224">
        <v>0.56000000000000005</v>
      </c>
    </row>
    <row r="59" spans="68:68" x14ac:dyDescent="0.2">
      <c r="BP59" s="224">
        <v>0.56999999999999995</v>
      </c>
    </row>
    <row r="60" spans="68:68" x14ac:dyDescent="0.2">
      <c r="BP60" s="224">
        <v>0.57999999999999996</v>
      </c>
    </row>
    <row r="61" spans="68:68" x14ac:dyDescent="0.2">
      <c r="BP61" s="224">
        <v>0.59</v>
      </c>
    </row>
    <row r="62" spans="68:68" x14ac:dyDescent="0.2">
      <c r="BP62" s="224">
        <v>0.6</v>
      </c>
    </row>
    <row r="63" spans="68:68" x14ac:dyDescent="0.2">
      <c r="BP63" s="224">
        <v>0.61</v>
      </c>
    </row>
    <row r="64" spans="68:68" x14ac:dyDescent="0.2">
      <c r="BP64" s="224">
        <v>0.62</v>
      </c>
    </row>
    <row r="65" spans="68:68" x14ac:dyDescent="0.2">
      <c r="BP65" s="224">
        <v>0.63</v>
      </c>
    </row>
    <row r="66" spans="68:68" x14ac:dyDescent="0.2">
      <c r="BP66" s="224">
        <v>0.64</v>
      </c>
    </row>
    <row r="67" spans="68:68" x14ac:dyDescent="0.2">
      <c r="BP67" s="224">
        <v>0.65</v>
      </c>
    </row>
    <row r="68" spans="68:68" x14ac:dyDescent="0.2">
      <c r="BP68" s="224">
        <v>0.66</v>
      </c>
    </row>
    <row r="69" spans="68:68" x14ac:dyDescent="0.2">
      <c r="BP69" s="224">
        <v>0.67</v>
      </c>
    </row>
    <row r="70" spans="68:68" x14ac:dyDescent="0.2">
      <c r="BP70" s="224">
        <v>0.68</v>
      </c>
    </row>
    <row r="71" spans="68:68" x14ac:dyDescent="0.2">
      <c r="BP71" s="224">
        <v>0.69</v>
      </c>
    </row>
    <row r="72" spans="68:68" x14ac:dyDescent="0.2">
      <c r="BP72" s="224">
        <v>0.7</v>
      </c>
    </row>
    <row r="73" spans="68:68" x14ac:dyDescent="0.2">
      <c r="BP73" s="224">
        <v>0.71</v>
      </c>
    </row>
    <row r="74" spans="68:68" x14ac:dyDescent="0.2">
      <c r="BP74" s="224">
        <v>0.72</v>
      </c>
    </row>
    <row r="75" spans="68:68" x14ac:dyDescent="0.2">
      <c r="BP75" s="224">
        <v>0.73</v>
      </c>
    </row>
    <row r="76" spans="68:68" x14ac:dyDescent="0.2">
      <c r="BP76" s="224">
        <v>0.74</v>
      </c>
    </row>
    <row r="77" spans="68:68" x14ac:dyDescent="0.2">
      <c r="BP77" s="224">
        <v>0.75</v>
      </c>
    </row>
    <row r="78" spans="68:68" x14ac:dyDescent="0.2">
      <c r="BP78" s="224">
        <v>0.76</v>
      </c>
    </row>
    <row r="79" spans="68:68" x14ac:dyDescent="0.2">
      <c r="BP79" s="224">
        <v>0.77</v>
      </c>
    </row>
    <row r="80" spans="68:68" x14ac:dyDescent="0.2">
      <c r="BP80" s="224">
        <v>0.78</v>
      </c>
    </row>
    <row r="81" spans="68:68" x14ac:dyDescent="0.2">
      <c r="BP81" s="224">
        <v>0.79</v>
      </c>
    </row>
    <row r="82" spans="68:68" x14ac:dyDescent="0.2">
      <c r="BP82" s="224">
        <v>0.8</v>
      </c>
    </row>
    <row r="83" spans="68:68" x14ac:dyDescent="0.2">
      <c r="BP83" s="224">
        <v>0.81</v>
      </c>
    </row>
    <row r="84" spans="68:68" x14ac:dyDescent="0.2">
      <c r="BP84" s="224">
        <v>0.82</v>
      </c>
    </row>
    <row r="85" spans="68:68" x14ac:dyDescent="0.2">
      <c r="BP85" s="224">
        <v>0.83</v>
      </c>
    </row>
    <row r="86" spans="68:68" x14ac:dyDescent="0.2">
      <c r="BP86" s="224">
        <v>0.84</v>
      </c>
    </row>
    <row r="87" spans="68:68" x14ac:dyDescent="0.2">
      <c r="BP87" s="224">
        <v>0.85</v>
      </c>
    </row>
    <row r="88" spans="68:68" x14ac:dyDescent="0.2">
      <c r="BP88" s="224">
        <v>0.86</v>
      </c>
    </row>
    <row r="89" spans="68:68" x14ac:dyDescent="0.2">
      <c r="BP89" s="224">
        <v>0.87</v>
      </c>
    </row>
    <row r="90" spans="68:68" x14ac:dyDescent="0.2">
      <c r="BP90" s="224">
        <v>0.88</v>
      </c>
    </row>
    <row r="91" spans="68:68" x14ac:dyDescent="0.2">
      <c r="BP91" s="224">
        <v>0.89</v>
      </c>
    </row>
    <row r="92" spans="68:68" x14ac:dyDescent="0.2">
      <c r="BP92" s="224">
        <v>0.9</v>
      </c>
    </row>
    <row r="93" spans="68:68" x14ac:dyDescent="0.2">
      <c r="BP93" s="224">
        <v>0.91</v>
      </c>
    </row>
    <row r="94" spans="68:68" x14ac:dyDescent="0.2">
      <c r="BP94" s="224">
        <v>0.92</v>
      </c>
    </row>
    <row r="95" spans="68:68" x14ac:dyDescent="0.2">
      <c r="BP95" s="224">
        <v>0.93</v>
      </c>
    </row>
    <row r="96" spans="68:68" x14ac:dyDescent="0.2">
      <c r="BP96" s="224">
        <v>0.94</v>
      </c>
    </row>
    <row r="97" spans="68:68" x14ac:dyDescent="0.2">
      <c r="BP97" s="224">
        <v>0.95</v>
      </c>
    </row>
    <row r="98" spans="68:68" x14ac:dyDescent="0.2">
      <c r="BP98" s="224">
        <v>0.96</v>
      </c>
    </row>
    <row r="99" spans="68:68" x14ac:dyDescent="0.2">
      <c r="BP99" s="224">
        <v>0.97</v>
      </c>
    </row>
    <row r="100" spans="68:68" x14ac:dyDescent="0.2">
      <c r="BP100" s="224">
        <v>0.98</v>
      </c>
    </row>
    <row r="101" spans="68:68" x14ac:dyDescent="0.2">
      <c r="BP101" s="224">
        <v>0.99</v>
      </c>
    </row>
    <row r="102" spans="68:68" x14ac:dyDescent="0.2">
      <c r="BP102" s="224">
        <v>1</v>
      </c>
    </row>
  </sheetData>
  <sheetProtection algorithmName="SHA-512" hashValue="J7w1Y3a2R7AuwF/r2V7I2cwF7LaiDz76yASIinL8x44jFB6b421gbtp1Za21QJ7YhPCfiwNke0eIbM6E+p2MRA==" saltValue="lAxlHShU0RJkmtXvV98AyQ==" spinCount="100000" sheet="1" objects="1" scenarios="1"/>
  <dataConsolidate/>
  <mergeCells count="8">
    <mergeCell ref="C2:D2"/>
    <mergeCell ref="M3:Q3"/>
    <mergeCell ref="L2:Q2"/>
    <mergeCell ref="K27:M27"/>
    <mergeCell ref="K28:M28"/>
    <mergeCell ref="K26:M26"/>
    <mergeCell ref="F3:I3"/>
    <mergeCell ref="F2:I2"/>
  </mergeCells>
  <conditionalFormatting sqref="M22:AK22">
    <cfRule type="cellIs" dxfId="18" priority="39" operator="lessThan">
      <formula>0</formula>
    </cfRule>
    <cfRule type="cellIs" dxfId="17" priority="40" operator="greaterThan">
      <formula>0</formula>
    </cfRule>
  </conditionalFormatting>
  <conditionalFormatting sqref="M23:AK23">
    <cfRule type="cellIs" dxfId="16" priority="37" operator="lessThan">
      <formula>0</formula>
    </cfRule>
    <cfRule type="cellIs" dxfId="15" priority="38" operator="greaterThan">
      <formula>0</formula>
    </cfRule>
  </conditionalFormatting>
  <conditionalFormatting sqref="M24:AK24">
    <cfRule type="cellIs" dxfId="14" priority="35" operator="lessThan">
      <formula>0</formula>
    </cfRule>
    <cfRule type="cellIs" dxfId="13" priority="36" operator="greaterThan">
      <formula>0</formula>
    </cfRule>
  </conditionalFormatting>
  <conditionalFormatting sqref="M5:Q9">
    <cfRule type="cellIs" dxfId="12" priority="29" operator="between">
      <formula>0.00000000001</formula>
      <formula>999.9999999999</formula>
    </cfRule>
    <cfRule type="cellIs" dxfId="11" priority="30" operator="lessThan">
      <formula>0</formula>
    </cfRule>
    <cfRule type="cellIs" dxfId="10" priority="31" operator="greaterThan">
      <formula>1000</formula>
    </cfRule>
    <cfRule type="colorScale" priority="33">
      <colorScale>
        <cfvo type="min"/>
        <cfvo type="percentile" val="50"/>
        <cfvo type="max"/>
        <color rgb="FFF8696B"/>
        <color rgb="FFFFEB84"/>
        <color rgb="FF63BE7B"/>
      </colorScale>
    </cfRule>
    <cfRule type="cellIs" dxfId="9" priority="34" operator="greaterThan">
      <formula>0</formula>
    </cfRule>
  </conditionalFormatting>
  <conditionalFormatting sqref="D33">
    <cfRule type="cellIs" dxfId="8" priority="23" operator="lessThan">
      <formula>0</formula>
    </cfRule>
    <cfRule type="cellIs" dxfId="7" priority="24" operator="greaterThan">
      <formula>1000</formula>
    </cfRule>
  </conditionalFormatting>
  <conditionalFormatting sqref="D36">
    <cfRule type="cellIs" dxfId="6" priority="21" operator="lessThan">
      <formula>$D$7</formula>
    </cfRule>
    <cfRule type="cellIs" dxfId="5" priority="22" operator="greaterThan">
      <formula>$D$7</formula>
    </cfRule>
  </conditionalFormatting>
  <conditionalFormatting sqref="D38">
    <cfRule type="cellIs" dxfId="4" priority="19" operator="lessThan">
      <formula>$D$6</formula>
    </cfRule>
    <cfRule type="cellIs" dxfId="3" priority="20" operator="greaterThan">
      <formula>$D$6</formula>
    </cfRule>
  </conditionalFormatting>
  <conditionalFormatting sqref="N28">
    <cfRule type="cellIs" dxfId="2" priority="1" operator="between">
      <formula>20</formula>
      <formula>30</formula>
    </cfRule>
    <cfRule type="cellIs" dxfId="1" priority="2" operator="lessThan">
      <formula>20</formula>
    </cfRule>
    <cfRule type="cellIs" dxfId="0" priority="3" operator="greaterThan">
      <formula>30</formula>
    </cfRule>
  </conditionalFormatting>
  <dataValidations count="2">
    <dataValidation type="list" allowBlank="1" showDropDown="1" showInputMessage="1" showErrorMessage="1" sqref="N26:N27 M16:Q16 S16:AK16 R16" xr:uid="{806B6F7A-B529-F342-AD98-655104A9D7C5}">
      <formula1>$BP$2:$BP$102</formula1>
    </dataValidation>
    <dataValidation type="decimal" operator="greaterThanOrEqual" allowBlank="1" showInputMessage="1" showErrorMessage="1" sqref="I5:I18" xr:uid="{BEEAA51E-B500-B946-AC12-30AA5F30DCD3}">
      <formula1>0</formula1>
    </dataValidation>
  </dataValidations>
  <pageMargins left="0.7" right="0.7" top="0.75" bottom="0.75" header="0.3" footer="0.3"/>
  <drawing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D27D5D-29D9-BF47-8F83-7B6784EEE896}">
  <sheetPr>
    <tabColor theme="5" tint="0.59999389629810485"/>
  </sheetPr>
  <dimension ref="B3:S51"/>
  <sheetViews>
    <sheetView zoomScale="71" zoomScaleNormal="70" workbookViewId="0">
      <selection activeCell="R30" sqref="R30"/>
    </sheetView>
  </sheetViews>
  <sheetFormatPr baseColWidth="10" defaultRowHeight="16" x14ac:dyDescent="0.2"/>
  <cols>
    <col min="1" max="1" width="10.83203125" style="2"/>
    <col min="2" max="2" width="35.5" style="2" customWidth="1"/>
    <col min="3" max="4" width="14.5" style="2" bestFit="1" customWidth="1"/>
    <col min="5" max="5" width="11.1640625" style="2" bestFit="1" customWidth="1"/>
    <col min="6" max="6" width="13.33203125" style="2" bestFit="1" customWidth="1"/>
    <col min="7" max="7" width="19.5" style="2" bestFit="1" customWidth="1"/>
    <col min="8" max="8" width="17.6640625" style="2" bestFit="1" customWidth="1"/>
    <col min="9" max="9" width="14.1640625" style="2" bestFit="1" customWidth="1"/>
    <col min="10" max="10" width="20.33203125" style="2" bestFit="1" customWidth="1"/>
    <col min="11" max="11" width="29.6640625" style="2" bestFit="1" customWidth="1"/>
    <col min="12" max="12" width="27.33203125" style="2" bestFit="1" customWidth="1"/>
    <col min="13" max="13" width="14.5" style="2" customWidth="1"/>
    <col min="14" max="16384" width="10.83203125" style="2"/>
  </cols>
  <sheetData>
    <row r="3" spans="2:19" ht="17" thickBot="1" x14ac:dyDescent="0.25"/>
    <row r="4" spans="2:19" ht="16" customHeight="1" x14ac:dyDescent="0.2">
      <c r="B4" s="522" t="s">
        <v>70</v>
      </c>
      <c r="C4" s="523"/>
      <c r="D4" s="523"/>
      <c r="E4" s="523"/>
      <c r="F4" s="523"/>
      <c r="G4" s="523"/>
      <c r="H4" s="523"/>
      <c r="I4" s="523"/>
      <c r="J4" s="523"/>
      <c r="K4" s="524"/>
      <c r="L4" s="546" t="s">
        <v>71</v>
      </c>
      <c r="M4" s="547"/>
      <c r="N4" s="547"/>
      <c r="O4" s="547"/>
      <c r="P4" s="547"/>
      <c r="Q4" s="547"/>
      <c r="R4" s="547"/>
      <c r="S4" s="548"/>
    </row>
    <row r="5" spans="2:19" ht="17" customHeight="1" thickBot="1" x14ac:dyDescent="0.25">
      <c r="B5" s="543"/>
      <c r="C5" s="544"/>
      <c r="D5" s="544"/>
      <c r="E5" s="544"/>
      <c r="F5" s="544"/>
      <c r="G5" s="544"/>
      <c r="H5" s="544"/>
      <c r="I5" s="544"/>
      <c r="J5" s="544"/>
      <c r="K5" s="545"/>
      <c r="L5" s="549"/>
      <c r="M5" s="550"/>
      <c r="N5" s="550"/>
      <c r="O5" s="550"/>
      <c r="P5" s="550"/>
      <c r="Q5" s="550"/>
      <c r="R5" s="550"/>
      <c r="S5" s="551"/>
    </row>
    <row r="6" spans="2:19" ht="51" customHeight="1" x14ac:dyDescent="0.2">
      <c r="B6" s="30" t="s">
        <v>47</v>
      </c>
      <c r="C6" s="31" t="s">
        <v>477</v>
      </c>
      <c r="D6" s="31" t="s">
        <v>478</v>
      </c>
      <c r="E6" s="31" t="s">
        <v>49</v>
      </c>
      <c r="F6" s="31" t="s">
        <v>50</v>
      </c>
      <c r="G6" s="31" t="s">
        <v>51</v>
      </c>
      <c r="H6" s="31" t="s">
        <v>52</v>
      </c>
      <c r="I6" s="31" t="s">
        <v>53</v>
      </c>
      <c r="J6" s="31" t="s">
        <v>54</v>
      </c>
      <c r="K6" s="32" t="s">
        <v>55</v>
      </c>
      <c r="L6" s="623" t="s">
        <v>72</v>
      </c>
      <c r="M6" s="624" t="s">
        <v>48</v>
      </c>
      <c r="N6" s="31" t="s">
        <v>73</v>
      </c>
      <c r="O6" s="31" t="s">
        <v>74</v>
      </c>
      <c r="P6" s="624" t="s">
        <v>75</v>
      </c>
      <c r="Q6" s="624" t="s">
        <v>76</v>
      </c>
      <c r="R6" s="625" t="s">
        <v>77</v>
      </c>
      <c r="S6" s="626" t="s">
        <v>78</v>
      </c>
    </row>
    <row r="7" spans="2:19" x14ac:dyDescent="0.2">
      <c r="B7" s="33" t="s">
        <v>412</v>
      </c>
      <c r="C7" s="39">
        <v>77000</v>
      </c>
      <c r="D7" s="302"/>
      <c r="E7" s="303">
        <v>10</v>
      </c>
      <c r="F7" s="62">
        <f t="shared" ref="F7:F25" si="0">IF(ISBLANK(D7),C7,D7)/E7</f>
        <v>7700</v>
      </c>
      <c r="G7" s="62">
        <f t="shared" ref="G7:G25" si="1">IF(ISBLANK(D7),C7,D7)-F7</f>
        <v>69300</v>
      </c>
      <c r="H7" s="35">
        <f>('General Assumptions'!$E$51*(1+'General Assumptions'!$E$51)^'Machinery &amp; Equipment'!E7)/((1+'General Assumptions'!$E$51)^'Machinery &amp; Equipment'!E7-1)</f>
        <v>0.11723050660515964</v>
      </c>
      <c r="I7" s="62">
        <f>G7*H7</f>
        <v>8124.0741077375633</v>
      </c>
      <c r="J7" s="62">
        <f>F7*'General Assumptions'!$E$51</f>
        <v>231.00000000000003</v>
      </c>
      <c r="K7" s="64">
        <f>I7+J7</f>
        <v>8355.0741077375642</v>
      </c>
      <c r="L7" s="33" t="s">
        <v>572</v>
      </c>
      <c r="M7" s="168">
        <f t="shared" ref="M7:M18" si="2">IF(ISBLANK(D7),C7,D7)</f>
        <v>77000</v>
      </c>
      <c r="N7" s="439">
        <v>7000</v>
      </c>
      <c r="O7" s="440">
        <v>1</v>
      </c>
      <c r="P7" s="62">
        <f t="shared" ref="P7:P18" si="3">(M7*O7)/N7</f>
        <v>11</v>
      </c>
      <c r="Q7" s="63">
        <f>IF(ISBLANK('General Assumptions'!G22),'General Assumptions'!E22,'General Assumptions'!G22)*M24*60</f>
        <v>8.1468000000000007</v>
      </c>
      <c r="R7" s="62">
        <f>Q7*0.15</f>
        <v>1.2220200000000001</v>
      </c>
      <c r="S7" s="64">
        <f t="shared" ref="S7:S18" si="4">P7+Q7+R7</f>
        <v>20.368819999999999</v>
      </c>
    </row>
    <row r="8" spans="2:19" x14ac:dyDescent="0.2">
      <c r="B8" s="33" t="s">
        <v>56</v>
      </c>
      <c r="C8" s="39">
        <v>35000</v>
      </c>
      <c r="D8" s="304"/>
      <c r="E8" s="305">
        <v>10</v>
      </c>
      <c r="F8" s="62">
        <f t="shared" si="0"/>
        <v>3500</v>
      </c>
      <c r="G8" s="62">
        <f t="shared" si="1"/>
        <v>31500</v>
      </c>
      <c r="H8" s="35">
        <f>('General Assumptions'!$E$51*(1+'General Assumptions'!$E$51)^'Machinery &amp; Equipment'!E8)/((1+'General Assumptions'!$E$51)^'Machinery &amp; Equipment'!E8-1)</f>
        <v>0.11723050660515964</v>
      </c>
      <c r="I8" s="62">
        <f t="shared" ref="I8:I20" si="5">G8*H8</f>
        <v>3692.760958062529</v>
      </c>
      <c r="J8" s="62">
        <f>F8*'General Assumptions'!$E$51</f>
        <v>105.00000000000001</v>
      </c>
      <c r="K8" s="64">
        <f t="shared" ref="K8:K20" si="6">I8+J8</f>
        <v>3797.760958062529</v>
      </c>
      <c r="L8" s="33" t="s">
        <v>56</v>
      </c>
      <c r="M8" s="168">
        <f t="shared" si="2"/>
        <v>35000</v>
      </c>
      <c r="N8" s="441">
        <v>2000</v>
      </c>
      <c r="O8" s="442">
        <v>0.6</v>
      </c>
      <c r="P8" s="62">
        <f t="shared" si="3"/>
        <v>10.5</v>
      </c>
      <c r="Q8" s="62"/>
      <c r="R8" s="62"/>
      <c r="S8" s="64">
        <f t="shared" si="4"/>
        <v>10.5</v>
      </c>
    </row>
    <row r="9" spans="2:19" x14ac:dyDescent="0.2">
      <c r="B9" s="33" t="s">
        <v>57</v>
      </c>
      <c r="C9" s="39">
        <v>3350</v>
      </c>
      <c r="D9" s="302"/>
      <c r="E9" s="303">
        <v>10</v>
      </c>
      <c r="F9" s="62">
        <f t="shared" si="0"/>
        <v>335</v>
      </c>
      <c r="G9" s="62">
        <f t="shared" si="1"/>
        <v>3015</v>
      </c>
      <c r="H9" s="35">
        <f>('General Assumptions'!$E$51*(1+'General Assumptions'!$E$51)^'Machinery &amp; Equipment'!E9)/((1+'General Assumptions'!$E$51)^'Machinery &amp; Equipment'!E9-1)</f>
        <v>0.11723050660515964</v>
      </c>
      <c r="I9" s="62">
        <f t="shared" si="5"/>
        <v>353.44997741455632</v>
      </c>
      <c r="J9" s="62">
        <f>F9*'General Assumptions'!$E$51</f>
        <v>10.050000000000001</v>
      </c>
      <c r="K9" s="64">
        <f t="shared" si="6"/>
        <v>363.49997741455633</v>
      </c>
      <c r="L9" s="33" t="s">
        <v>57</v>
      </c>
      <c r="M9" s="168">
        <f t="shared" si="2"/>
        <v>3350</v>
      </c>
      <c r="N9" s="439">
        <v>2000</v>
      </c>
      <c r="O9" s="440">
        <v>0.6</v>
      </c>
      <c r="P9" s="62">
        <f t="shared" si="3"/>
        <v>1.0049999999999999</v>
      </c>
      <c r="Q9" s="62"/>
      <c r="R9" s="62"/>
      <c r="S9" s="64">
        <f t="shared" si="4"/>
        <v>1.0049999999999999</v>
      </c>
    </row>
    <row r="10" spans="2:19" x14ac:dyDescent="0.2">
      <c r="B10" s="33" t="s">
        <v>69</v>
      </c>
      <c r="C10" s="39">
        <v>4000</v>
      </c>
      <c r="D10" s="304"/>
      <c r="E10" s="305">
        <v>7</v>
      </c>
      <c r="F10" s="62">
        <f t="shared" si="0"/>
        <v>571.42857142857144</v>
      </c>
      <c r="G10" s="62">
        <f t="shared" si="1"/>
        <v>3428.5714285714284</v>
      </c>
      <c r="H10" s="35">
        <f>('General Assumptions'!$E$51*(1+'General Assumptions'!$E$51)^'Machinery &amp; Equipment'!E10)/((1+'General Assumptions'!$E$51)^'Machinery &amp; Equipment'!E10-1)</f>
        <v>0.16050635375427202</v>
      </c>
      <c r="I10" s="62">
        <f t="shared" si="5"/>
        <v>550.30749858607544</v>
      </c>
      <c r="J10" s="62">
        <f>F10*'General Assumptions'!$E$51</f>
        <v>17.142857142857146</v>
      </c>
      <c r="K10" s="64">
        <f t="shared" si="6"/>
        <v>567.45035572893255</v>
      </c>
      <c r="L10" s="33" t="s">
        <v>79</v>
      </c>
      <c r="M10" s="168">
        <f t="shared" si="2"/>
        <v>4000</v>
      </c>
      <c r="N10" s="441">
        <v>2500</v>
      </c>
      <c r="O10" s="442">
        <v>0.8</v>
      </c>
      <c r="P10" s="62">
        <f t="shared" si="3"/>
        <v>1.28</v>
      </c>
      <c r="Q10" s="62"/>
      <c r="R10" s="62"/>
      <c r="S10" s="64">
        <f t="shared" si="4"/>
        <v>1.28</v>
      </c>
    </row>
    <row r="11" spans="2:19" x14ac:dyDescent="0.2">
      <c r="B11" s="33" t="s">
        <v>58</v>
      </c>
      <c r="C11" s="39">
        <v>2500</v>
      </c>
      <c r="D11" s="302"/>
      <c r="E11" s="303">
        <v>10</v>
      </c>
      <c r="F11" s="62">
        <f t="shared" si="0"/>
        <v>250</v>
      </c>
      <c r="G11" s="62">
        <f t="shared" si="1"/>
        <v>2250</v>
      </c>
      <c r="H11" s="35">
        <f>('General Assumptions'!$E$51*(1+'General Assumptions'!$E$51)^'Machinery &amp; Equipment'!E11)/((1+'General Assumptions'!$E$51)^'Machinery &amp; Equipment'!E11-1)</f>
        <v>0.11723050660515964</v>
      </c>
      <c r="I11" s="62">
        <f t="shared" si="5"/>
        <v>263.76863986160919</v>
      </c>
      <c r="J11" s="62">
        <f>F11*'General Assumptions'!$E$51</f>
        <v>7.5000000000000009</v>
      </c>
      <c r="K11" s="64">
        <f t="shared" si="6"/>
        <v>271.26863986160919</v>
      </c>
      <c r="L11" s="33" t="s">
        <v>58</v>
      </c>
      <c r="M11" s="168">
        <f t="shared" si="2"/>
        <v>2500</v>
      </c>
      <c r="N11" s="439">
        <v>1200</v>
      </c>
      <c r="O11" s="440">
        <v>0.8</v>
      </c>
      <c r="P11" s="62">
        <f t="shared" si="3"/>
        <v>1.6666666666666667</v>
      </c>
      <c r="Q11" s="62"/>
      <c r="R11" s="62"/>
      <c r="S11" s="64">
        <f t="shared" si="4"/>
        <v>1.6666666666666667</v>
      </c>
    </row>
    <row r="12" spans="2:19" x14ac:dyDescent="0.2">
      <c r="B12" s="33" t="s">
        <v>59</v>
      </c>
      <c r="C12" s="39">
        <v>3000</v>
      </c>
      <c r="D12" s="304"/>
      <c r="E12" s="305">
        <v>10</v>
      </c>
      <c r="F12" s="62">
        <f t="shared" si="0"/>
        <v>300</v>
      </c>
      <c r="G12" s="62">
        <f t="shared" si="1"/>
        <v>2700</v>
      </c>
      <c r="H12" s="35">
        <f>('General Assumptions'!$E$51*(1+'General Assumptions'!$E$51)^'Machinery &amp; Equipment'!E12)/((1+'General Assumptions'!$E$51)^'Machinery &amp; Equipment'!E12-1)</f>
        <v>0.11723050660515964</v>
      </c>
      <c r="I12" s="62">
        <f t="shared" si="5"/>
        <v>316.52236783393101</v>
      </c>
      <c r="J12" s="62">
        <f>F12*'General Assumptions'!$E$51</f>
        <v>9</v>
      </c>
      <c r="K12" s="64">
        <f t="shared" si="6"/>
        <v>325.52236783393101</v>
      </c>
      <c r="L12" s="33" t="s">
        <v>80</v>
      </c>
      <c r="M12" s="168">
        <f t="shared" si="2"/>
        <v>3000</v>
      </c>
      <c r="N12" s="441">
        <v>2000</v>
      </c>
      <c r="O12" s="442">
        <v>0.6</v>
      </c>
      <c r="P12" s="62">
        <f t="shared" si="3"/>
        <v>0.9</v>
      </c>
      <c r="Q12" s="62"/>
      <c r="R12" s="62"/>
      <c r="S12" s="64">
        <f t="shared" si="4"/>
        <v>0.9</v>
      </c>
    </row>
    <row r="13" spans="2:19" x14ac:dyDescent="0.2">
      <c r="B13" s="33" t="s">
        <v>60</v>
      </c>
      <c r="C13" s="39">
        <v>18000</v>
      </c>
      <c r="D13" s="302"/>
      <c r="E13" s="303">
        <v>10</v>
      </c>
      <c r="F13" s="62">
        <f t="shared" si="0"/>
        <v>1800</v>
      </c>
      <c r="G13" s="62">
        <f t="shared" si="1"/>
        <v>16200</v>
      </c>
      <c r="H13" s="35">
        <f>('General Assumptions'!$E$51*(1+'General Assumptions'!$E$51)^'Machinery &amp; Equipment'!E13)/((1+'General Assumptions'!$E$51)^'Machinery &amp; Equipment'!E13-1)</f>
        <v>0.11723050660515964</v>
      </c>
      <c r="I13" s="62">
        <f t="shared" si="5"/>
        <v>1899.1342070035862</v>
      </c>
      <c r="J13" s="62">
        <f>F13*'General Assumptions'!$E$51</f>
        <v>54.000000000000007</v>
      </c>
      <c r="K13" s="64">
        <f t="shared" si="6"/>
        <v>1953.1342070035862</v>
      </c>
      <c r="L13" s="33" t="s">
        <v>60</v>
      </c>
      <c r="M13" s="168">
        <f t="shared" si="2"/>
        <v>18000</v>
      </c>
      <c r="N13" s="439">
        <v>2000</v>
      </c>
      <c r="O13" s="440">
        <v>0.6</v>
      </c>
      <c r="P13" s="62">
        <f t="shared" si="3"/>
        <v>5.4</v>
      </c>
      <c r="Q13" s="62"/>
      <c r="R13" s="62"/>
      <c r="S13" s="64">
        <f t="shared" si="4"/>
        <v>5.4</v>
      </c>
    </row>
    <row r="14" spans="2:19" x14ac:dyDescent="0.2">
      <c r="B14" s="33" t="s">
        <v>61</v>
      </c>
      <c r="C14" s="39">
        <v>5400</v>
      </c>
      <c r="D14" s="304"/>
      <c r="E14" s="305">
        <v>10</v>
      </c>
      <c r="F14" s="62">
        <f t="shared" si="0"/>
        <v>540</v>
      </c>
      <c r="G14" s="62">
        <f t="shared" si="1"/>
        <v>4860</v>
      </c>
      <c r="H14" s="35">
        <f>('General Assumptions'!$E$51*(1+'General Assumptions'!$E$51)^'Machinery &amp; Equipment'!E14)/((1+'General Assumptions'!$E$51)^'Machinery &amp; Equipment'!E14-1)</f>
        <v>0.11723050660515964</v>
      </c>
      <c r="I14" s="62">
        <f t="shared" si="5"/>
        <v>569.74026210107581</v>
      </c>
      <c r="J14" s="62">
        <f>F14*'General Assumptions'!$E$51</f>
        <v>16.200000000000003</v>
      </c>
      <c r="K14" s="64">
        <f t="shared" si="6"/>
        <v>585.94026210107586</v>
      </c>
      <c r="L14" s="33" t="s">
        <v>81</v>
      </c>
      <c r="M14" s="168">
        <f t="shared" si="2"/>
        <v>5400</v>
      </c>
      <c r="N14" s="441">
        <v>2000</v>
      </c>
      <c r="O14" s="442">
        <v>0.8</v>
      </c>
      <c r="P14" s="62">
        <f t="shared" si="3"/>
        <v>2.16</v>
      </c>
      <c r="Q14" s="62"/>
      <c r="R14" s="62"/>
      <c r="S14" s="64">
        <f t="shared" si="4"/>
        <v>2.16</v>
      </c>
    </row>
    <row r="15" spans="2:19" x14ac:dyDescent="0.2">
      <c r="B15" s="33" t="s">
        <v>62</v>
      </c>
      <c r="C15" s="39">
        <v>4500</v>
      </c>
      <c r="D15" s="302"/>
      <c r="E15" s="303">
        <v>10</v>
      </c>
      <c r="F15" s="62">
        <f t="shared" si="0"/>
        <v>450</v>
      </c>
      <c r="G15" s="62">
        <f t="shared" si="1"/>
        <v>4050</v>
      </c>
      <c r="H15" s="35">
        <f>('General Assumptions'!$E$51*(1+'General Assumptions'!$E$51)^'Machinery &amp; Equipment'!E15)/((1+'General Assumptions'!$E$51)^'Machinery &amp; Equipment'!E15-1)</f>
        <v>0.11723050660515964</v>
      </c>
      <c r="I15" s="62">
        <f t="shared" si="5"/>
        <v>474.78355175089655</v>
      </c>
      <c r="J15" s="62">
        <f>F15*'General Assumptions'!$E$51</f>
        <v>13.500000000000002</v>
      </c>
      <c r="K15" s="64">
        <f t="shared" si="6"/>
        <v>488.28355175089655</v>
      </c>
      <c r="L15" s="33" t="s">
        <v>82</v>
      </c>
      <c r="M15" s="168">
        <f t="shared" si="2"/>
        <v>4500</v>
      </c>
      <c r="N15" s="439">
        <v>3000</v>
      </c>
      <c r="O15" s="440">
        <v>0.8</v>
      </c>
      <c r="P15" s="62">
        <f t="shared" si="3"/>
        <v>1.2</v>
      </c>
      <c r="Q15" s="62"/>
      <c r="R15" s="62"/>
      <c r="S15" s="64">
        <f t="shared" si="4"/>
        <v>1.2</v>
      </c>
    </row>
    <row r="16" spans="2:19" x14ac:dyDescent="0.2">
      <c r="B16" s="33" t="s">
        <v>63</v>
      </c>
      <c r="C16" s="39">
        <v>34000</v>
      </c>
      <c r="D16" s="304"/>
      <c r="E16" s="305">
        <v>10</v>
      </c>
      <c r="F16" s="62">
        <f t="shared" si="0"/>
        <v>3400</v>
      </c>
      <c r="G16" s="62">
        <f t="shared" si="1"/>
        <v>30600</v>
      </c>
      <c r="H16" s="35">
        <f>('General Assumptions'!$E$51*(1+'General Assumptions'!$E$51)^'Machinery &amp; Equipment'!E16)/((1+'General Assumptions'!$E$51)^'Machinery &amp; Equipment'!E16-1)</f>
        <v>0.11723050660515964</v>
      </c>
      <c r="I16" s="62">
        <f t="shared" si="5"/>
        <v>3587.2535021178851</v>
      </c>
      <c r="J16" s="62">
        <f>F16*'General Assumptions'!$E$51</f>
        <v>102.00000000000001</v>
      </c>
      <c r="K16" s="64">
        <f t="shared" si="6"/>
        <v>3689.2535021178851</v>
      </c>
      <c r="L16" s="33" t="s">
        <v>63</v>
      </c>
      <c r="M16" s="168">
        <f t="shared" si="2"/>
        <v>34000</v>
      </c>
      <c r="N16" s="441">
        <v>2500</v>
      </c>
      <c r="O16" s="442">
        <v>0.83</v>
      </c>
      <c r="P16" s="62">
        <f t="shared" si="3"/>
        <v>11.288</v>
      </c>
      <c r="Q16" s="62">
        <f>IF(ISBLANK('General Assumptions'!G21),'General Assumptions'!E21,'General Assumptions'!G21)</f>
        <v>2.9</v>
      </c>
      <c r="R16" s="62">
        <f>Q16*0.15</f>
        <v>0.435</v>
      </c>
      <c r="S16" s="64">
        <f t="shared" si="4"/>
        <v>14.623000000000001</v>
      </c>
    </row>
    <row r="17" spans="2:19" x14ac:dyDescent="0.2">
      <c r="B17" s="33" t="s">
        <v>64</v>
      </c>
      <c r="C17" s="39">
        <v>1220</v>
      </c>
      <c r="D17" s="302"/>
      <c r="E17" s="303">
        <v>10</v>
      </c>
      <c r="F17" s="62">
        <f t="shared" si="0"/>
        <v>122</v>
      </c>
      <c r="G17" s="62">
        <f t="shared" si="1"/>
        <v>1098</v>
      </c>
      <c r="H17" s="35">
        <f>('General Assumptions'!$E$51*(1+'General Assumptions'!$E$51)^'Machinery &amp; Equipment'!E17)/((1+'General Assumptions'!$E$51)^'Machinery &amp; Equipment'!E17-1)</f>
        <v>0.11723050660515964</v>
      </c>
      <c r="I17" s="62">
        <f t="shared" si="5"/>
        <v>128.71909625246528</v>
      </c>
      <c r="J17" s="62">
        <f>F17*'General Assumptions'!$E$51</f>
        <v>3.66</v>
      </c>
      <c r="K17" s="64">
        <f t="shared" si="6"/>
        <v>132.37909625246527</v>
      </c>
      <c r="L17" s="33" t="s">
        <v>64</v>
      </c>
      <c r="M17" s="168">
        <f t="shared" si="2"/>
        <v>1220</v>
      </c>
      <c r="N17" s="439">
        <v>2000</v>
      </c>
      <c r="O17" s="440">
        <v>0.8</v>
      </c>
      <c r="P17" s="62">
        <f t="shared" si="3"/>
        <v>0.48799999999999999</v>
      </c>
      <c r="Q17" s="62"/>
      <c r="R17" s="62"/>
      <c r="S17" s="64">
        <f t="shared" si="4"/>
        <v>0.48799999999999999</v>
      </c>
    </row>
    <row r="18" spans="2:19" x14ac:dyDescent="0.2">
      <c r="B18" s="33" t="s">
        <v>65</v>
      </c>
      <c r="C18" s="39">
        <v>12000</v>
      </c>
      <c r="D18" s="304"/>
      <c r="E18" s="305">
        <v>10</v>
      </c>
      <c r="F18" s="62">
        <f t="shared" si="0"/>
        <v>1200</v>
      </c>
      <c r="G18" s="62">
        <f t="shared" si="1"/>
        <v>10800</v>
      </c>
      <c r="H18" s="35">
        <f>('General Assumptions'!$E$51*(1+'General Assumptions'!$E$51)^'Machinery &amp; Equipment'!E18)/((1+'General Assumptions'!$E$51)^'Machinery &amp; Equipment'!E18-1)</f>
        <v>0.11723050660515964</v>
      </c>
      <c r="I18" s="62">
        <f t="shared" si="5"/>
        <v>1266.0894713357241</v>
      </c>
      <c r="J18" s="62">
        <f>F18*'General Assumptions'!$E$51</f>
        <v>36</v>
      </c>
      <c r="K18" s="64">
        <f t="shared" si="6"/>
        <v>1302.0894713357241</v>
      </c>
      <c r="L18" s="33" t="s">
        <v>65</v>
      </c>
      <c r="M18" s="168">
        <f t="shared" si="2"/>
        <v>12000</v>
      </c>
      <c r="N18" s="441">
        <v>1200</v>
      </c>
      <c r="O18" s="442">
        <v>0.8</v>
      </c>
      <c r="P18" s="62">
        <f t="shared" si="3"/>
        <v>8</v>
      </c>
      <c r="Q18" s="62"/>
      <c r="R18" s="62"/>
      <c r="S18" s="64">
        <f t="shared" si="4"/>
        <v>8</v>
      </c>
    </row>
    <row r="19" spans="2:19" ht="18" customHeight="1" x14ac:dyDescent="0.2">
      <c r="B19" s="37" t="s">
        <v>573</v>
      </c>
      <c r="C19" s="39">
        <f>IF(ISBLANK('General Assumptions'!G17),'General Assumptions'!E17,'General Assumptions'!G17)*IF(ISBLANK('General Assumptions'!G7),'General Assumptions'!E7,'General Assumptions'!G7)</f>
        <v>0</v>
      </c>
      <c r="D19" s="302"/>
      <c r="E19" s="303">
        <v>10</v>
      </c>
      <c r="F19" s="62">
        <f t="shared" si="0"/>
        <v>0</v>
      </c>
      <c r="G19" s="62">
        <f t="shared" si="1"/>
        <v>0</v>
      </c>
      <c r="H19" s="35">
        <f>('General Assumptions'!$E$51*(1+'General Assumptions'!$E$51)^'Machinery &amp; Equipment'!E19)/((1+'General Assumptions'!$E$51)^'Machinery &amp; Equipment'!E19-1)</f>
        <v>0.11723050660515964</v>
      </c>
      <c r="I19" s="62">
        <f t="shared" si="5"/>
        <v>0</v>
      </c>
      <c r="J19" s="62">
        <f>F19*'General Assumptions'!$E$51</f>
        <v>0</v>
      </c>
      <c r="K19" s="64">
        <f t="shared" si="6"/>
        <v>0</v>
      </c>
      <c r="L19" s="220" t="str">
        <f>B22</f>
        <v>Insert your own</v>
      </c>
      <c r="M19" s="169">
        <f>D22</f>
        <v>0</v>
      </c>
      <c r="N19" s="307"/>
      <c r="O19" s="440">
        <v>0</v>
      </c>
      <c r="P19" s="39" t="e">
        <f t="shared" ref="P19:P22" si="7">(M19*O19)/N19</f>
        <v>#DIV/0!</v>
      </c>
      <c r="Q19" s="23"/>
      <c r="R19" s="23"/>
      <c r="S19" s="40" t="e">
        <f t="shared" ref="S19:S22" si="8">P19+Q19+R19</f>
        <v>#DIV/0!</v>
      </c>
    </row>
    <row r="20" spans="2:19" x14ac:dyDescent="0.2">
      <c r="B20" s="33" t="s">
        <v>66</v>
      </c>
      <c r="C20" s="39">
        <v>8000</v>
      </c>
      <c r="D20" s="304"/>
      <c r="E20" s="305">
        <v>10</v>
      </c>
      <c r="F20" s="62">
        <f t="shared" si="0"/>
        <v>800</v>
      </c>
      <c r="G20" s="62">
        <f t="shared" si="1"/>
        <v>7200</v>
      </c>
      <c r="H20" s="35">
        <f>('General Assumptions'!$E$51*(1+'General Assumptions'!$E$51)^'Machinery &amp; Equipment'!E20)/((1+'General Assumptions'!$E$51)^'Machinery &amp; Equipment'!E20-1)</f>
        <v>0.11723050660515964</v>
      </c>
      <c r="I20" s="62">
        <f t="shared" si="5"/>
        <v>844.05964755714945</v>
      </c>
      <c r="J20" s="62">
        <f>F20*'General Assumptions'!$E$51</f>
        <v>24.000000000000004</v>
      </c>
      <c r="K20" s="64">
        <f t="shared" si="6"/>
        <v>868.05964755714945</v>
      </c>
      <c r="L20" s="220" t="str">
        <f>B23</f>
        <v>Insert your own</v>
      </c>
      <c r="M20" s="169">
        <f>D23</f>
        <v>0</v>
      </c>
      <c r="N20" s="309"/>
      <c r="O20" s="442">
        <v>0</v>
      </c>
      <c r="P20" s="39" t="e">
        <f t="shared" si="7"/>
        <v>#DIV/0!</v>
      </c>
      <c r="Q20" s="23"/>
      <c r="R20" s="23"/>
      <c r="S20" s="40" t="e">
        <f t="shared" si="8"/>
        <v>#DIV/0!</v>
      </c>
    </row>
    <row r="21" spans="2:19" x14ac:dyDescent="0.2">
      <c r="B21" s="33" t="s">
        <v>67</v>
      </c>
      <c r="C21" s="39">
        <v>4500</v>
      </c>
      <c r="D21" s="302"/>
      <c r="E21" s="303">
        <v>10</v>
      </c>
      <c r="F21" s="62">
        <f t="shared" si="0"/>
        <v>450</v>
      </c>
      <c r="G21" s="62">
        <f t="shared" si="1"/>
        <v>4050</v>
      </c>
      <c r="H21" s="35">
        <f>('General Assumptions'!$E$51*(1+'General Assumptions'!$E$51)^'Machinery &amp; Equipment'!E21)/((1+'General Assumptions'!$E$51)^'Machinery &amp; Equipment'!E21-1)</f>
        <v>0.11723050660515964</v>
      </c>
      <c r="I21" s="62">
        <f>G21*H21</f>
        <v>474.78355175089655</v>
      </c>
      <c r="J21" s="62">
        <f>F21*'General Assumptions'!$E$51</f>
        <v>13.500000000000002</v>
      </c>
      <c r="K21" s="64">
        <f>I21+J21</f>
        <v>488.28355175089655</v>
      </c>
      <c r="L21" s="220" t="str">
        <f>B24</f>
        <v>Insert your own</v>
      </c>
      <c r="M21" s="169">
        <f>D24</f>
        <v>0</v>
      </c>
      <c r="N21" s="307"/>
      <c r="O21" s="440">
        <v>0</v>
      </c>
      <c r="P21" s="39" t="e">
        <f t="shared" si="7"/>
        <v>#DIV/0!</v>
      </c>
      <c r="Q21" s="23"/>
      <c r="R21" s="23"/>
      <c r="S21" s="40" t="e">
        <f t="shared" si="8"/>
        <v>#DIV/0!</v>
      </c>
    </row>
    <row r="22" spans="2:19" ht="17" thickBot="1" x14ac:dyDescent="0.25">
      <c r="B22" s="38" t="s">
        <v>423</v>
      </c>
      <c r="C22" s="39"/>
      <c r="D22" s="304"/>
      <c r="E22" s="305"/>
      <c r="F22" s="62" t="e">
        <f t="shared" si="0"/>
        <v>#DIV/0!</v>
      </c>
      <c r="G22" s="62" t="e">
        <f t="shared" si="1"/>
        <v>#DIV/0!</v>
      </c>
      <c r="H22" s="39" t="e">
        <f>('General Assumptions'!$E$51*(1+'General Assumptions'!$E$51)^'Machinery &amp; Equipment'!E22)/((1+'General Assumptions'!$E$51)^'Machinery &amp; Equipment'!E22-1)</f>
        <v>#DIV/0!</v>
      </c>
      <c r="I22" s="39" t="e">
        <f>G22*H22</f>
        <v>#DIV/0!</v>
      </c>
      <c r="J22" s="62" t="e">
        <f>F22*'General Assumptions'!$E$51</f>
        <v>#DIV/0!</v>
      </c>
      <c r="K22" s="622" t="s">
        <v>568</v>
      </c>
      <c r="L22" s="221" t="s">
        <v>423</v>
      </c>
      <c r="M22" s="170">
        <f>D25</f>
        <v>0</v>
      </c>
      <c r="N22" s="311"/>
      <c r="O22" s="627">
        <v>0</v>
      </c>
      <c r="P22" s="628" t="e">
        <f t="shared" si="7"/>
        <v>#DIV/0!</v>
      </c>
      <c r="Q22" s="29"/>
      <c r="R22" s="29"/>
      <c r="S22" s="629" t="e">
        <f t="shared" si="8"/>
        <v>#DIV/0!</v>
      </c>
    </row>
    <row r="23" spans="2:19" x14ac:dyDescent="0.2">
      <c r="B23" s="38" t="s">
        <v>423</v>
      </c>
      <c r="C23" s="39"/>
      <c r="D23" s="302"/>
      <c r="E23" s="303"/>
      <c r="F23" s="62" t="e">
        <f t="shared" si="0"/>
        <v>#DIV/0!</v>
      </c>
      <c r="G23" s="62" t="e">
        <f t="shared" si="1"/>
        <v>#DIV/0!</v>
      </c>
      <c r="H23" s="39" t="e">
        <f>('General Assumptions'!$E$51*(1+'General Assumptions'!$E$51)^'Machinery &amp; Equipment'!E23)/((1+'General Assumptions'!$E$51)^'Machinery &amp; Equipment'!E23-1)</f>
        <v>#DIV/0!</v>
      </c>
      <c r="I23" s="39" t="e">
        <f t="shared" ref="I23:I25" si="9">G23*H23</f>
        <v>#DIV/0!</v>
      </c>
      <c r="J23" s="62" t="e">
        <f>F23*'General Assumptions'!$E$51</f>
        <v>#DIV/0!</v>
      </c>
      <c r="K23" s="622" t="s">
        <v>569</v>
      </c>
      <c r="L23" s="41" t="s">
        <v>83</v>
      </c>
      <c r="M23" s="42" t="s">
        <v>84</v>
      </c>
      <c r="N23" s="4"/>
      <c r="O23" s="4"/>
      <c r="P23" s="4"/>
      <c r="Q23" s="4"/>
      <c r="R23" s="4"/>
      <c r="S23" s="4"/>
    </row>
    <row r="24" spans="2:19" x14ac:dyDescent="0.2">
      <c r="B24" s="38" t="s">
        <v>423</v>
      </c>
      <c r="C24" s="39"/>
      <c r="D24" s="304"/>
      <c r="E24" s="305"/>
      <c r="F24" s="62" t="e">
        <f t="shared" si="0"/>
        <v>#DIV/0!</v>
      </c>
      <c r="G24" s="62" t="e">
        <f t="shared" si="1"/>
        <v>#DIV/0!</v>
      </c>
      <c r="H24" s="39" t="e">
        <f>('General Assumptions'!$E$51*(1+'General Assumptions'!$E$51)^'Machinery &amp; Equipment'!E24)/((1+'General Assumptions'!$E$51)^'Machinery &amp; Equipment'!E24-1)</f>
        <v>#DIV/0!</v>
      </c>
      <c r="I24" s="39" t="e">
        <f t="shared" si="9"/>
        <v>#DIV/0!</v>
      </c>
      <c r="J24" s="62" t="e">
        <f>F24*'General Assumptions'!$E$51</f>
        <v>#DIV/0!</v>
      </c>
      <c r="K24" s="622" t="s">
        <v>570</v>
      </c>
      <c r="L24" s="25" t="s">
        <v>12</v>
      </c>
      <c r="M24" s="43">
        <v>4.3799999999999999E-2</v>
      </c>
      <c r="N24" s="4"/>
      <c r="O24" s="4"/>
      <c r="P24" s="4"/>
      <c r="Q24" s="4"/>
      <c r="R24" s="4"/>
      <c r="S24" s="4"/>
    </row>
    <row r="25" spans="2:19" x14ac:dyDescent="0.2">
      <c r="B25" s="38" t="s">
        <v>423</v>
      </c>
      <c r="C25" s="39"/>
      <c r="D25" s="302"/>
      <c r="E25" s="306"/>
      <c r="F25" s="62" t="e">
        <f t="shared" si="0"/>
        <v>#DIV/0!</v>
      </c>
      <c r="G25" s="62" t="e">
        <f t="shared" si="1"/>
        <v>#DIV/0!</v>
      </c>
      <c r="H25" s="39" t="e">
        <f>('General Assumptions'!$E$51*(1+'General Assumptions'!$E$51)^'Machinery &amp; Equipment'!E25)/((1+'General Assumptions'!$E$51)^'Machinery &amp; Equipment'!E25-1)</f>
        <v>#DIV/0!</v>
      </c>
      <c r="I25" s="39" t="e">
        <f t="shared" si="9"/>
        <v>#DIV/0!</v>
      </c>
      <c r="J25" s="62" t="e">
        <f>F25*'General Assumptions'!$E$51</f>
        <v>#DIV/0!</v>
      </c>
      <c r="K25" s="622" t="s">
        <v>571</v>
      </c>
      <c r="L25" s="25" t="s">
        <v>11</v>
      </c>
      <c r="M25" s="43">
        <v>0.06</v>
      </c>
      <c r="N25" s="4"/>
      <c r="O25" s="4"/>
      <c r="P25" s="4"/>
      <c r="Q25" s="4"/>
      <c r="R25" s="4"/>
      <c r="S25" s="4"/>
    </row>
    <row r="26" spans="2:19" x14ac:dyDescent="0.2">
      <c r="B26" s="44" t="s">
        <v>68</v>
      </c>
      <c r="C26" s="65">
        <f>SUM(C7:C22)</f>
        <v>212470</v>
      </c>
      <c r="D26" s="65"/>
      <c r="E26" s="45"/>
      <c r="F26" s="65" t="e">
        <f>SUM(F7:F25)</f>
        <v>#DIV/0!</v>
      </c>
      <c r="G26" s="65" t="e">
        <f>SUM(G7:G25)</f>
        <v>#DIV/0!</v>
      </c>
      <c r="H26" s="45"/>
      <c r="I26" s="45"/>
      <c r="J26" s="45"/>
      <c r="K26" s="66">
        <f>SUM(K7:K25)</f>
        <v>23187.999696508803</v>
      </c>
      <c r="L26" s="46"/>
      <c r="M26" s="47"/>
      <c r="N26" s="4"/>
      <c r="O26" s="4"/>
      <c r="P26" s="48"/>
      <c r="Q26" s="48"/>
      <c r="R26" s="49"/>
      <c r="S26" s="49"/>
    </row>
    <row r="27" spans="2:19" x14ac:dyDescent="0.2">
      <c r="B27" s="50"/>
      <c r="C27" s="34" t="s">
        <v>479</v>
      </c>
      <c r="D27" s="34" t="s">
        <v>480</v>
      </c>
      <c r="E27" s="51" t="s">
        <v>421</v>
      </c>
      <c r="F27" s="34" t="s">
        <v>50</v>
      </c>
      <c r="G27" s="34" t="s">
        <v>51</v>
      </c>
      <c r="H27" s="51" t="s">
        <v>52</v>
      </c>
      <c r="I27" s="51" t="s">
        <v>53</v>
      </c>
      <c r="J27" s="51" t="s">
        <v>54</v>
      </c>
      <c r="K27" s="36" t="s">
        <v>55</v>
      </c>
      <c r="L27" s="46"/>
      <c r="M27" s="47"/>
      <c r="N27" s="4"/>
      <c r="O27" s="4"/>
      <c r="P27" s="48"/>
      <c r="Q27" s="48"/>
      <c r="R27" s="49"/>
      <c r="S27" s="49"/>
    </row>
    <row r="28" spans="2:19" x14ac:dyDescent="0.2">
      <c r="B28" s="50" t="s">
        <v>389</v>
      </c>
      <c r="C28" s="1"/>
      <c r="D28" s="1"/>
      <c r="E28" s="51"/>
      <c r="F28" s="34"/>
      <c r="G28" s="34"/>
      <c r="H28" s="51"/>
      <c r="I28" s="51"/>
      <c r="J28" s="51"/>
      <c r="K28" s="36"/>
      <c r="L28" s="46"/>
      <c r="M28" s="47"/>
      <c r="N28" s="4"/>
      <c r="O28" s="4"/>
      <c r="P28" s="48"/>
      <c r="Q28" s="48"/>
      <c r="R28" s="49"/>
      <c r="S28" s="49"/>
    </row>
    <row r="29" spans="2:19" x14ac:dyDescent="0.2">
      <c r="B29" s="52" t="s">
        <v>390</v>
      </c>
      <c r="C29" s="210">
        <f>'General Assumptions'!E39</f>
        <v>55</v>
      </c>
      <c r="D29" s="304"/>
      <c r="E29" s="51"/>
      <c r="F29" s="34"/>
      <c r="G29" s="34"/>
      <c r="H29" s="51"/>
      <c r="I29" s="51"/>
      <c r="J29" s="51"/>
      <c r="K29" s="36"/>
      <c r="L29" s="46"/>
      <c r="M29" s="47"/>
      <c r="N29" s="4"/>
      <c r="O29" s="4"/>
      <c r="P29" s="48"/>
      <c r="Q29" s="48"/>
      <c r="R29" s="49"/>
      <c r="S29" s="49"/>
    </row>
    <row r="30" spans="2:19" x14ac:dyDescent="0.2">
      <c r="B30" s="52" t="s">
        <v>391</v>
      </c>
      <c r="C30" s="211">
        <f>'General Assumptions'!E38</f>
        <v>0</v>
      </c>
      <c r="D30" s="436"/>
      <c r="E30" s="51"/>
      <c r="F30" s="34"/>
      <c r="G30" s="34"/>
      <c r="H30" s="51"/>
      <c r="I30" s="51"/>
      <c r="J30" s="51"/>
      <c r="K30" s="36"/>
      <c r="L30" s="46"/>
      <c r="M30" s="47"/>
      <c r="N30" s="4"/>
      <c r="O30" s="4"/>
      <c r="P30" s="48"/>
      <c r="Q30" s="48"/>
      <c r="R30" s="49"/>
      <c r="S30" s="49"/>
    </row>
    <row r="31" spans="2:19" x14ac:dyDescent="0.2">
      <c r="B31" s="52" t="s">
        <v>419</v>
      </c>
      <c r="C31" s="211">
        <f>IF(ISBLANK(D29),C29,D29)*IF(ISBLANK(D30),C30,D30)</f>
        <v>0</v>
      </c>
      <c r="D31" s="53"/>
      <c r="E31" s="437">
        <v>30</v>
      </c>
      <c r="F31" s="62">
        <v>0</v>
      </c>
      <c r="G31" s="62">
        <f>C31-F31</f>
        <v>0</v>
      </c>
      <c r="H31" s="35">
        <f>('General Assumptions'!$E$51*(1+'General Assumptions'!$E$51)^'Machinery &amp; Equipment'!E31)/((1+'General Assumptions'!$E$51)^'Machinery &amp; Equipment'!E31-1)</f>
        <v>5.1019259320252607E-2</v>
      </c>
      <c r="I31" s="62">
        <f>G31*H31</f>
        <v>0</v>
      </c>
      <c r="J31" s="62">
        <f>F31*'General Assumptions'!$E$51</f>
        <v>0</v>
      </c>
      <c r="K31" s="64">
        <f>I31+J31</f>
        <v>0</v>
      </c>
      <c r="L31" s="46"/>
      <c r="M31" s="47"/>
      <c r="N31" s="4"/>
      <c r="O31" s="4"/>
      <c r="P31" s="48"/>
      <c r="Q31" s="48"/>
      <c r="R31" s="49"/>
      <c r="S31" s="49"/>
    </row>
    <row r="32" spans="2:19" x14ac:dyDescent="0.2">
      <c r="B32" s="50" t="s">
        <v>415</v>
      </c>
      <c r="C32" s="212"/>
      <c r="D32" s="34"/>
      <c r="E32" s="51"/>
      <c r="F32" s="34"/>
      <c r="G32" s="34"/>
      <c r="H32" s="35"/>
      <c r="I32" s="51"/>
      <c r="J32" s="51"/>
      <c r="K32" s="36"/>
      <c r="L32" s="46"/>
      <c r="M32" s="47"/>
      <c r="N32" s="4"/>
      <c r="O32" s="4"/>
      <c r="P32" s="48"/>
      <c r="Q32" s="48"/>
      <c r="R32" s="49"/>
      <c r="S32" s="49"/>
    </row>
    <row r="33" spans="2:19" x14ac:dyDescent="0.2">
      <c r="B33" s="52" t="s">
        <v>390</v>
      </c>
      <c r="C33" s="210">
        <f>'General Assumptions'!E37</f>
        <v>0</v>
      </c>
      <c r="D33" s="304"/>
      <c r="E33" s="51"/>
      <c r="F33" s="34"/>
      <c r="G33" s="34"/>
      <c r="H33" s="35"/>
      <c r="I33" s="51"/>
      <c r="J33" s="51"/>
      <c r="K33" s="36"/>
      <c r="L33" s="46"/>
      <c r="M33" s="47"/>
      <c r="N33" s="4"/>
      <c r="O33" s="4"/>
      <c r="P33" s="48"/>
      <c r="Q33" s="48"/>
      <c r="R33" s="49"/>
      <c r="S33" s="49"/>
    </row>
    <row r="34" spans="2:19" x14ac:dyDescent="0.2">
      <c r="B34" s="52" t="s">
        <v>391</v>
      </c>
      <c r="C34" s="211">
        <f>'General Assumptions'!E36</f>
        <v>0</v>
      </c>
      <c r="D34" s="436"/>
      <c r="E34" s="51"/>
      <c r="F34" s="34"/>
      <c r="G34" s="34"/>
      <c r="H34" s="35"/>
      <c r="I34" s="51"/>
      <c r="J34" s="51"/>
      <c r="K34" s="36"/>
      <c r="L34" s="46"/>
      <c r="M34" s="47"/>
      <c r="N34" s="4"/>
      <c r="O34" s="4"/>
      <c r="P34" s="48"/>
      <c r="Q34" s="48"/>
      <c r="R34" s="49"/>
      <c r="S34" s="49"/>
    </row>
    <row r="35" spans="2:19" x14ac:dyDescent="0.2">
      <c r="B35" s="52" t="s">
        <v>420</v>
      </c>
      <c r="C35" s="211">
        <f>IF(ISBLANK(D33),C33,D33)*IF(ISBLANK(D34),C34,D34)</f>
        <v>0</v>
      </c>
      <c r="D35" s="53"/>
      <c r="E35" s="437">
        <v>30</v>
      </c>
      <c r="F35" s="62">
        <v>0</v>
      </c>
      <c r="G35" s="62">
        <f>C35-F35</f>
        <v>0</v>
      </c>
      <c r="H35" s="35">
        <f>('General Assumptions'!$E$51*(1+'General Assumptions'!$E$51)^'Machinery &amp; Equipment'!E35)/((1+'General Assumptions'!$E$51)^'Machinery &amp; Equipment'!E35-1)</f>
        <v>5.1019259320252607E-2</v>
      </c>
      <c r="I35" s="62">
        <f>G35*H35</f>
        <v>0</v>
      </c>
      <c r="J35" s="62">
        <f>F35*'General Assumptions'!$E$51</f>
        <v>0</v>
      </c>
      <c r="K35" s="64">
        <f>I35+J35</f>
        <v>0</v>
      </c>
      <c r="L35" s="46"/>
      <c r="M35" s="47"/>
      <c r="N35" s="4"/>
      <c r="O35" s="4"/>
      <c r="P35" s="48"/>
      <c r="Q35" s="48"/>
      <c r="R35" s="49"/>
      <c r="S35" s="49"/>
    </row>
    <row r="36" spans="2:19" x14ac:dyDescent="0.2">
      <c r="B36" s="50" t="s">
        <v>462</v>
      </c>
      <c r="C36" s="211"/>
      <c r="D36" s="53"/>
      <c r="E36" s="51"/>
      <c r="F36" s="34"/>
      <c r="G36" s="34"/>
      <c r="H36" s="35"/>
      <c r="I36" s="34"/>
      <c r="J36" s="34"/>
      <c r="K36" s="36"/>
      <c r="L36" s="46"/>
      <c r="M36" s="47"/>
      <c r="N36" s="3"/>
      <c r="O36" s="3"/>
      <c r="P36" s="3"/>
      <c r="Q36" s="3"/>
      <c r="R36" s="3"/>
      <c r="S36" s="4"/>
    </row>
    <row r="37" spans="2:19" x14ac:dyDescent="0.2">
      <c r="B37" s="52" t="s">
        <v>463</v>
      </c>
      <c r="C37" s="210">
        <f>'General Assumptions'!E14</f>
        <v>0</v>
      </c>
      <c r="D37" s="304"/>
      <c r="E37" s="51"/>
      <c r="F37" s="34"/>
      <c r="G37" s="34"/>
      <c r="H37" s="35"/>
      <c r="I37" s="34"/>
      <c r="J37" s="34"/>
      <c r="K37" s="36"/>
      <c r="L37" s="46"/>
      <c r="M37" s="47"/>
      <c r="N37" s="109"/>
      <c r="O37" s="109"/>
      <c r="P37" s="171"/>
      <c r="Q37" s="171"/>
      <c r="R37" s="172"/>
      <c r="S37" s="49"/>
    </row>
    <row r="38" spans="2:19" x14ac:dyDescent="0.2">
      <c r="B38" s="52" t="s">
        <v>464</v>
      </c>
      <c r="C38" s="214">
        <f>'General Assumptions'!E13</f>
        <v>0</v>
      </c>
      <c r="D38" s="438"/>
      <c r="E38" s="51"/>
      <c r="F38" s="1"/>
      <c r="G38" s="34"/>
      <c r="H38" s="35"/>
      <c r="I38" s="34"/>
      <c r="J38" s="34"/>
      <c r="K38" s="36"/>
      <c r="L38" s="4"/>
      <c r="M38" s="4"/>
      <c r="N38" s="109"/>
      <c r="O38" s="109"/>
      <c r="P38" s="109"/>
      <c r="Q38" s="173"/>
      <c r="R38" s="173"/>
      <c r="S38" s="174"/>
    </row>
    <row r="39" spans="2:19" x14ac:dyDescent="0.2">
      <c r="B39" s="10" t="s">
        <v>465</v>
      </c>
      <c r="C39" s="213">
        <f>IF(ISBLANK(D37),C37,D37)*IF(ISBLANK(D38),C38,D38)</f>
        <v>0</v>
      </c>
      <c r="D39" s="72"/>
      <c r="E39" s="410">
        <v>20</v>
      </c>
      <c r="F39" s="62">
        <v>0</v>
      </c>
      <c r="G39" s="72">
        <f>C39-F39</f>
        <v>0</v>
      </c>
      <c r="H39" s="35">
        <f>('General Assumptions'!$E$51*(1+'General Assumptions'!$E$51)^'Machinery &amp; Equipment'!E39)/((1+'General Assumptions'!$E$51)^'Machinery &amp; Equipment'!E39-1)</f>
        <v>6.7215707596859159E-2</v>
      </c>
      <c r="I39" s="72">
        <f>G39*H39</f>
        <v>0</v>
      </c>
      <c r="J39" s="72">
        <f>F39*'General Assumptions'!$E$51</f>
        <v>0</v>
      </c>
      <c r="K39" s="73">
        <f>I39+J39</f>
        <v>0</v>
      </c>
      <c r="L39" s="46"/>
      <c r="M39" s="109"/>
      <c r="N39" s="109"/>
      <c r="O39" s="109"/>
      <c r="P39" s="109"/>
      <c r="Q39" s="173"/>
      <c r="R39" s="173"/>
      <c r="S39" s="174"/>
    </row>
    <row r="40" spans="2:19" ht="17" thickBot="1" x14ac:dyDescent="0.25">
      <c r="B40" s="67" t="s">
        <v>392</v>
      </c>
      <c r="C40" s="218">
        <f>(C26+C31+C35+C39)/IF(ISBLANK('General Assumptions'!G7),'General Assumptions'!E7,'General Assumptions'!G7)</f>
        <v>10623.5</v>
      </c>
      <c r="D40" s="68"/>
      <c r="E40" s="69"/>
      <c r="F40" s="70"/>
      <c r="G40" s="70"/>
      <c r="H40" s="69"/>
      <c r="I40" s="69"/>
      <c r="J40" s="69"/>
      <c r="K40" s="219">
        <f>(K31+K35+K26+K39)/IF(ISBLANK('General Assumptions'!G7),'General Assumptions'!E7,'General Assumptions'!G7)</f>
        <v>1159.3999848254402</v>
      </c>
      <c r="L40" s="109"/>
      <c r="M40" s="109"/>
      <c r="N40" s="109"/>
      <c r="O40" s="109"/>
      <c r="P40" s="109"/>
      <c r="Q40" s="173"/>
      <c r="R40" s="173"/>
      <c r="S40" s="174"/>
    </row>
    <row r="41" spans="2:19" x14ac:dyDescent="0.2">
      <c r="B41" s="16" t="s">
        <v>393</v>
      </c>
      <c r="C41" s="6"/>
      <c r="D41" s="6"/>
      <c r="E41" s="6"/>
      <c r="F41" s="6"/>
      <c r="G41" s="6"/>
      <c r="H41" s="6"/>
      <c r="I41" s="6"/>
      <c r="J41" s="6"/>
      <c r="K41" s="6"/>
      <c r="L41" s="17"/>
      <c r="M41" s="17"/>
      <c r="N41" s="17"/>
      <c r="O41" s="17"/>
      <c r="P41" s="17"/>
      <c r="Q41" s="18"/>
      <c r="R41" s="18"/>
      <c r="S41" s="19"/>
    </row>
    <row r="42" spans="2:19" x14ac:dyDescent="0.2">
      <c r="B42" s="5"/>
      <c r="C42" s="13"/>
      <c r="D42" s="13"/>
      <c r="E42" s="15"/>
      <c r="F42" s="13"/>
      <c r="G42" s="13"/>
      <c r="H42" s="14"/>
      <c r="I42" s="13"/>
      <c r="J42" s="13"/>
      <c r="K42" s="13"/>
      <c r="N42" s="17"/>
      <c r="O42" s="17"/>
      <c r="P42" s="17"/>
      <c r="Q42" s="18"/>
      <c r="R42" s="18"/>
      <c r="S42" s="19"/>
    </row>
    <row r="43" spans="2:19" x14ac:dyDescent="0.2">
      <c r="B43" s="5"/>
      <c r="C43" s="20"/>
      <c r="D43" s="20"/>
      <c r="E43" s="15"/>
      <c r="F43" s="15"/>
      <c r="G43" s="13"/>
      <c r="H43" s="15"/>
      <c r="I43" s="13"/>
      <c r="J43" s="13"/>
      <c r="K43" s="13"/>
      <c r="N43" s="17"/>
      <c r="O43" s="17"/>
      <c r="P43" s="17"/>
      <c r="Q43" s="18"/>
      <c r="R43" s="18"/>
      <c r="S43" s="19"/>
    </row>
    <row r="44" spans="2:19" x14ac:dyDescent="0.2">
      <c r="B44" s="3"/>
      <c r="C44" s="3"/>
      <c r="D44" s="3"/>
      <c r="E44" s="3"/>
      <c r="F44" s="3"/>
      <c r="G44" s="3"/>
      <c r="H44" s="3"/>
      <c r="I44" s="3"/>
      <c r="J44" s="3"/>
      <c r="K44" s="3"/>
      <c r="N44" s="17"/>
      <c r="O44" s="17"/>
      <c r="P44" s="17"/>
      <c r="Q44" s="18"/>
      <c r="R44" s="18"/>
      <c r="S44" s="19"/>
    </row>
    <row r="45" spans="2:19" x14ac:dyDescent="0.2">
      <c r="B45" s="3"/>
      <c r="C45" s="3"/>
      <c r="D45" s="3"/>
      <c r="E45" s="3"/>
      <c r="F45" s="3"/>
      <c r="G45" s="3"/>
      <c r="H45" s="3"/>
      <c r="I45" s="3"/>
      <c r="J45" s="3"/>
      <c r="K45" s="3"/>
      <c r="L45" s="17"/>
      <c r="M45" s="17"/>
      <c r="N45" s="3"/>
      <c r="O45" s="3"/>
      <c r="P45" s="17"/>
      <c r="Q45" s="18"/>
      <c r="R45" s="18"/>
      <c r="S45" s="19"/>
    </row>
    <row r="46" spans="2:19" x14ac:dyDescent="0.2">
      <c r="B46" s="21"/>
      <c r="C46" s="17"/>
      <c r="D46" s="17"/>
      <c r="E46" s="17"/>
      <c r="F46" s="3"/>
      <c r="G46" s="3"/>
      <c r="H46" s="3"/>
      <c r="I46" s="3"/>
      <c r="J46" s="3"/>
      <c r="K46" s="3"/>
      <c r="L46" s="3"/>
      <c r="M46" s="3"/>
      <c r="N46" s="3"/>
      <c r="O46" s="3"/>
      <c r="P46" s="3"/>
      <c r="Q46" s="3"/>
      <c r="R46" s="3"/>
    </row>
    <row r="47" spans="2:19" x14ac:dyDescent="0.2">
      <c r="B47" s="21"/>
      <c r="C47" s="17"/>
      <c r="D47" s="17"/>
      <c r="E47" s="22"/>
      <c r="F47" s="3"/>
      <c r="G47" s="3"/>
      <c r="H47" s="3"/>
      <c r="I47" s="3"/>
      <c r="J47" s="3"/>
      <c r="K47" s="3"/>
      <c r="L47" s="3"/>
      <c r="M47" s="3"/>
      <c r="N47" s="3"/>
      <c r="O47" s="3"/>
      <c r="P47" s="3"/>
      <c r="Q47" s="3"/>
      <c r="R47" s="3"/>
    </row>
    <row r="48" spans="2:19" x14ac:dyDescent="0.2">
      <c r="B48" s="21"/>
      <c r="C48" s="17"/>
      <c r="D48" s="17"/>
      <c r="E48" s="22"/>
      <c r="F48" s="3"/>
      <c r="G48" s="3"/>
      <c r="H48" s="3"/>
      <c r="I48" s="3"/>
      <c r="J48" s="3"/>
      <c r="K48" s="3"/>
    </row>
    <row r="49" spans="2:11" x14ac:dyDescent="0.2">
      <c r="B49" s="21"/>
      <c r="C49" s="17"/>
      <c r="D49" s="17"/>
      <c r="E49" s="22"/>
      <c r="F49" s="3"/>
      <c r="G49" s="3"/>
      <c r="H49" s="3"/>
      <c r="I49" s="3"/>
      <c r="J49" s="3"/>
      <c r="K49" s="3"/>
    </row>
    <row r="50" spans="2:11" x14ac:dyDescent="0.2">
      <c r="B50" s="21"/>
      <c r="C50" s="17"/>
      <c r="D50" s="17"/>
      <c r="E50" s="22"/>
      <c r="F50" s="3"/>
      <c r="G50" s="3"/>
      <c r="H50" s="3"/>
      <c r="I50" s="3"/>
      <c r="J50" s="3"/>
      <c r="K50" s="3"/>
    </row>
    <row r="51" spans="2:11" x14ac:dyDescent="0.2">
      <c r="B51" s="21"/>
      <c r="C51" s="17"/>
      <c r="D51" s="17"/>
      <c r="E51" s="22"/>
      <c r="F51" s="3"/>
      <c r="G51" s="3"/>
      <c r="H51" s="3"/>
      <c r="I51" s="3"/>
      <c r="J51" s="3"/>
      <c r="K51" s="3"/>
    </row>
  </sheetData>
  <sheetProtection algorithmName="SHA-512" hashValue="43i478SbQGcAsfiFgzbKfbXymIyZ0kwA/L+jzAbwAyY2tUc9h55tfNZ+lqwuNgi5bquGaK+M9W64ACtmoqXSFA==" saltValue="bcTpOx2SdDwDoWbPkFfUDA==" spinCount="100000" sheet="1" objects="1" scenarios="1"/>
  <mergeCells count="2">
    <mergeCell ref="B4:K5"/>
    <mergeCell ref="L4:S5"/>
  </mergeCells>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D043A5-1E3C-794F-8061-51890552CA41}">
  <sheetPr>
    <tabColor theme="5" tint="0.59999389629810485"/>
  </sheetPr>
  <dimension ref="A3:S26"/>
  <sheetViews>
    <sheetView zoomScale="90" zoomScaleNormal="90" workbookViewId="0">
      <selection activeCell="AF12" sqref="AF12"/>
    </sheetView>
  </sheetViews>
  <sheetFormatPr baseColWidth="10" defaultRowHeight="16" x14ac:dyDescent="0.2"/>
  <cols>
    <col min="1" max="1" width="10.83203125" style="2"/>
    <col min="2" max="2" width="52" style="2" bestFit="1" customWidth="1"/>
    <col min="3" max="3" width="13.33203125" style="2" bestFit="1" customWidth="1"/>
    <col min="4" max="4" width="15.83203125" style="2" bestFit="1" customWidth="1"/>
    <col min="5" max="5" width="10.83203125" style="2"/>
    <col min="6" max="6" width="15.83203125" style="2" bestFit="1" customWidth="1"/>
    <col min="7" max="7" width="13.5" style="2" customWidth="1"/>
    <col min="8" max="8" width="17.1640625" style="2" bestFit="1" customWidth="1"/>
    <col min="9" max="10" width="13.5" style="2" customWidth="1"/>
    <col min="11" max="11" width="13.1640625" style="2" bestFit="1" customWidth="1"/>
    <col min="12" max="18" width="10.83203125" style="2"/>
    <col min="19" max="19" width="18.6640625" style="2" bestFit="1" customWidth="1"/>
    <col min="20" max="16384" width="10.83203125" style="2"/>
  </cols>
  <sheetData>
    <row r="3" spans="1:19" x14ac:dyDescent="0.2">
      <c r="A3" s="3"/>
      <c r="B3" s="3"/>
      <c r="C3" s="3"/>
      <c r="D3" s="3"/>
      <c r="E3" s="3"/>
      <c r="F3" s="3"/>
      <c r="G3" s="3"/>
      <c r="H3" s="3"/>
      <c r="I3" s="3"/>
      <c r="J3" s="3"/>
      <c r="K3" s="3"/>
      <c r="L3" s="3"/>
      <c r="M3" s="3"/>
      <c r="N3" s="3"/>
      <c r="O3" s="3"/>
      <c r="P3" s="3"/>
      <c r="Q3" s="3"/>
      <c r="R3" s="3"/>
      <c r="S3" s="3"/>
    </row>
    <row r="4" spans="1:19" ht="17" thickBot="1" x14ac:dyDescent="0.25">
      <c r="A4" s="3"/>
      <c r="B4" s="3"/>
      <c r="C4" s="3"/>
      <c r="D4" s="3"/>
      <c r="E4" s="3"/>
      <c r="F4" s="3"/>
      <c r="G4" s="3"/>
      <c r="H4" s="3"/>
      <c r="I4" s="3"/>
      <c r="J4" s="3"/>
      <c r="K4" s="3"/>
      <c r="L4" s="3"/>
      <c r="M4" s="3"/>
      <c r="N4" s="3"/>
      <c r="O4" s="3"/>
      <c r="P4" s="3"/>
      <c r="Q4" s="3"/>
      <c r="R4" s="3"/>
      <c r="S4" s="3"/>
    </row>
    <row r="5" spans="1:19" ht="17" thickBot="1" x14ac:dyDescent="0.25">
      <c r="A5" s="3"/>
      <c r="B5" s="552" t="s">
        <v>145</v>
      </c>
      <c r="C5" s="554" t="s">
        <v>487</v>
      </c>
      <c r="D5" s="554"/>
      <c r="E5" s="554"/>
      <c r="F5" s="555"/>
      <c r="G5" s="556" t="s">
        <v>488</v>
      </c>
      <c r="H5" s="554"/>
      <c r="I5" s="554"/>
      <c r="J5" s="554"/>
      <c r="K5" s="241"/>
      <c r="L5" s="3"/>
    </row>
    <row r="6" spans="1:19" ht="17" thickBot="1" x14ac:dyDescent="0.25">
      <c r="A6" s="3"/>
      <c r="B6" s="553"/>
      <c r="C6" s="165" t="s">
        <v>384</v>
      </c>
      <c r="D6" s="165"/>
      <c r="E6" s="166" t="s">
        <v>146</v>
      </c>
      <c r="F6" s="245"/>
      <c r="G6" s="237" t="s">
        <v>384</v>
      </c>
      <c r="H6" s="165"/>
      <c r="I6" s="166" t="s">
        <v>146</v>
      </c>
      <c r="J6" s="165"/>
      <c r="K6" s="242" t="s">
        <v>147</v>
      </c>
    </row>
    <row r="7" spans="1:19" x14ac:dyDescent="0.2">
      <c r="A7" s="3"/>
      <c r="B7" s="33" t="s">
        <v>148</v>
      </c>
      <c r="C7" s="246">
        <f>2*'General Assumptions'!$E$11</f>
        <v>22</v>
      </c>
      <c r="D7" s="238" t="s">
        <v>149</v>
      </c>
      <c r="E7" s="240">
        <v>14.14</v>
      </c>
      <c r="F7" s="247" t="s">
        <v>150</v>
      </c>
      <c r="G7" s="443"/>
      <c r="H7" s="238" t="s">
        <v>149</v>
      </c>
      <c r="I7" s="312"/>
      <c r="J7" s="238" t="s">
        <v>150</v>
      </c>
      <c r="K7" s="243">
        <f>IF(ISBLANK(G7),C7,G7)*IF(ISBLANK(I7),E7,I7)</f>
        <v>311.08000000000004</v>
      </c>
      <c r="L7" s="3"/>
    </row>
    <row r="8" spans="1:19" x14ac:dyDescent="0.2">
      <c r="A8" s="3"/>
      <c r="B8" s="33" t="s">
        <v>151</v>
      </c>
      <c r="C8" s="246">
        <f>2*'General Assumptions'!$E$11</f>
        <v>22</v>
      </c>
      <c r="D8" s="238" t="s">
        <v>149</v>
      </c>
      <c r="E8" s="240">
        <v>10</v>
      </c>
      <c r="F8" s="247" t="s">
        <v>150</v>
      </c>
      <c r="G8" s="444"/>
      <c r="H8" s="238" t="s">
        <v>149</v>
      </c>
      <c r="I8" s="313"/>
      <c r="J8" s="238" t="s">
        <v>150</v>
      </c>
      <c r="K8" s="243">
        <f t="shared" ref="K8:K14" si="0">IF(ISBLANK(G8),C8,G8)*IF(ISBLANK(I8),E8,I8)</f>
        <v>220</v>
      </c>
      <c r="L8" s="3"/>
    </row>
    <row r="9" spans="1:19" x14ac:dyDescent="0.2">
      <c r="A9" s="3"/>
      <c r="B9" s="33" t="s">
        <v>152</v>
      </c>
      <c r="C9" s="246">
        <f>20*'General Assumptions'!$E$11</f>
        <v>220</v>
      </c>
      <c r="D9" s="238" t="s">
        <v>383</v>
      </c>
      <c r="E9" s="240">
        <v>6</v>
      </c>
      <c r="F9" s="247" t="s">
        <v>383</v>
      </c>
      <c r="G9" s="443"/>
      <c r="H9" s="238" t="s">
        <v>383</v>
      </c>
      <c r="I9" s="312"/>
      <c r="J9" s="238" t="s">
        <v>383</v>
      </c>
      <c r="K9" s="243">
        <f t="shared" si="0"/>
        <v>1320</v>
      </c>
      <c r="L9" s="3"/>
    </row>
    <row r="10" spans="1:19" x14ac:dyDescent="0.2">
      <c r="A10" s="3"/>
      <c r="B10" s="33" t="s">
        <v>417</v>
      </c>
      <c r="C10" s="246">
        <f>'General Assumptions'!E10</f>
        <v>1210</v>
      </c>
      <c r="D10" s="238" t="s">
        <v>418</v>
      </c>
      <c r="E10" s="240">
        <v>0.3</v>
      </c>
      <c r="F10" s="247" t="s">
        <v>418</v>
      </c>
      <c r="G10" s="444"/>
      <c r="H10" s="238" t="s">
        <v>418</v>
      </c>
      <c r="I10" s="313"/>
      <c r="J10" s="238" t="s">
        <v>418</v>
      </c>
      <c r="K10" s="243">
        <f t="shared" si="0"/>
        <v>363</v>
      </c>
      <c r="L10" s="3"/>
    </row>
    <row r="11" spans="1:19" x14ac:dyDescent="0.2">
      <c r="A11" s="3"/>
      <c r="B11" s="33" t="s">
        <v>153</v>
      </c>
      <c r="C11" s="246">
        <f>3181*'General Assumptions'!$E$11</f>
        <v>34991</v>
      </c>
      <c r="D11" s="238" t="s">
        <v>15</v>
      </c>
      <c r="E11" s="240">
        <v>2.5000000000000001E-2</v>
      </c>
      <c r="F11" s="247" t="s">
        <v>15</v>
      </c>
      <c r="G11" s="443"/>
      <c r="H11" s="238" t="s">
        <v>15</v>
      </c>
      <c r="I11" s="312"/>
      <c r="J11" s="238" t="s">
        <v>15</v>
      </c>
      <c r="K11" s="243">
        <f t="shared" si="0"/>
        <v>874.77500000000009</v>
      </c>
      <c r="L11" s="3"/>
    </row>
    <row r="12" spans="1:19" x14ac:dyDescent="0.2">
      <c r="A12" s="3"/>
      <c r="B12" s="33" t="s">
        <v>416</v>
      </c>
      <c r="C12" s="246">
        <f>120*'General Assumptions'!$E$11</f>
        <v>1320</v>
      </c>
      <c r="D12" s="238" t="s">
        <v>154</v>
      </c>
      <c r="E12" s="240">
        <v>0.05</v>
      </c>
      <c r="F12" s="247" t="s">
        <v>155</v>
      </c>
      <c r="G12" s="444"/>
      <c r="H12" s="238" t="s">
        <v>154</v>
      </c>
      <c r="I12" s="313"/>
      <c r="J12" s="238" t="s">
        <v>155</v>
      </c>
      <c r="K12" s="243">
        <f t="shared" si="0"/>
        <v>66</v>
      </c>
      <c r="L12" s="3"/>
    </row>
    <row r="13" spans="1:19" x14ac:dyDescent="0.2">
      <c r="A13" s="3"/>
      <c r="B13" s="33" t="s">
        <v>156</v>
      </c>
      <c r="C13" s="246">
        <f>0.3*'General Assumptions'!$E$11</f>
        <v>3.3</v>
      </c>
      <c r="D13" s="238" t="s">
        <v>119</v>
      </c>
      <c r="E13" s="240">
        <v>1.99</v>
      </c>
      <c r="F13" s="247" t="s">
        <v>157</v>
      </c>
      <c r="G13" s="443"/>
      <c r="H13" s="238" t="s">
        <v>119</v>
      </c>
      <c r="I13" s="312"/>
      <c r="J13" s="238" t="s">
        <v>157</v>
      </c>
      <c r="K13" s="243">
        <f t="shared" si="0"/>
        <v>6.5669999999999993</v>
      </c>
      <c r="L13" s="3"/>
      <c r="M13" s="3"/>
      <c r="N13" s="3"/>
      <c r="O13" s="3"/>
      <c r="P13" s="3"/>
      <c r="Q13" s="3"/>
      <c r="R13" s="3"/>
      <c r="S13" s="3"/>
    </row>
    <row r="14" spans="1:19" x14ac:dyDescent="0.2">
      <c r="A14" s="3"/>
      <c r="B14" s="33" t="s">
        <v>158</v>
      </c>
      <c r="C14" s="246">
        <f>5*'General Assumptions'!$E$11</f>
        <v>55</v>
      </c>
      <c r="D14" s="238" t="s">
        <v>159</v>
      </c>
      <c r="E14" s="240">
        <v>0.19</v>
      </c>
      <c r="F14" s="247" t="s">
        <v>160</v>
      </c>
      <c r="G14" s="444"/>
      <c r="H14" s="238" t="s">
        <v>159</v>
      </c>
      <c r="I14" s="313"/>
      <c r="J14" s="238" t="s">
        <v>160</v>
      </c>
      <c r="K14" s="243">
        <f t="shared" si="0"/>
        <v>10.45</v>
      </c>
      <c r="L14" s="3"/>
      <c r="M14" s="3"/>
      <c r="N14" s="3"/>
      <c r="O14" s="3"/>
      <c r="P14" s="3"/>
      <c r="Q14" s="3"/>
      <c r="R14" s="3"/>
      <c r="S14" s="3"/>
    </row>
    <row r="15" spans="1:19" ht="17" thickBot="1" x14ac:dyDescent="0.25">
      <c r="A15" s="3"/>
      <c r="B15" s="167" t="s">
        <v>161</v>
      </c>
      <c r="C15" s="239"/>
      <c r="D15" s="69"/>
      <c r="E15" s="69"/>
      <c r="F15" s="248"/>
      <c r="G15" s="445"/>
      <c r="H15" s="69"/>
      <c r="I15" s="69"/>
      <c r="J15" s="69"/>
      <c r="K15" s="244">
        <f>SUM(K7:K14)</f>
        <v>3171.8719999999998</v>
      </c>
      <c r="L15" s="3"/>
      <c r="M15" s="3"/>
      <c r="N15" s="3"/>
      <c r="O15" s="3"/>
      <c r="P15" s="3"/>
      <c r="Q15" s="3"/>
      <c r="R15" s="3"/>
      <c r="S15" s="3"/>
    </row>
    <row r="16" spans="1:19" x14ac:dyDescent="0.2">
      <c r="A16" s="3"/>
      <c r="B16" s="3"/>
      <c r="C16" s="3"/>
      <c r="D16" s="3"/>
      <c r="E16" s="3"/>
      <c r="F16" s="3"/>
      <c r="G16" s="3"/>
      <c r="H16" s="3"/>
      <c r="I16" s="3"/>
      <c r="J16" s="3"/>
      <c r="K16" s="3"/>
      <c r="L16" s="3"/>
      <c r="M16" s="3"/>
      <c r="N16" s="3"/>
      <c r="O16" s="3"/>
      <c r="P16" s="3"/>
      <c r="Q16" s="3"/>
      <c r="R16" s="3"/>
      <c r="S16" s="3"/>
    </row>
    <row r="17" spans="1:19" x14ac:dyDescent="0.2">
      <c r="A17" s="3"/>
      <c r="B17" s="3"/>
      <c r="C17" s="3"/>
      <c r="D17" s="3"/>
      <c r="E17" s="3"/>
      <c r="F17" s="3"/>
      <c r="G17" s="3"/>
      <c r="H17" s="3"/>
      <c r="I17" s="3"/>
      <c r="J17" s="3"/>
      <c r="K17" s="3"/>
      <c r="L17" s="3"/>
      <c r="M17" s="3"/>
      <c r="N17" s="3"/>
      <c r="O17" s="3"/>
      <c r="P17" s="3"/>
      <c r="Q17" s="3"/>
      <c r="R17" s="3"/>
      <c r="S17" s="3"/>
    </row>
    <row r="18" spans="1:19" ht="17" thickBot="1" x14ac:dyDescent="0.25">
      <c r="A18" s="3"/>
      <c r="C18" s="250"/>
      <c r="D18" s="250"/>
      <c r="E18" s="250"/>
      <c r="F18" s="250"/>
      <c r="G18" s="250"/>
      <c r="H18" s="250"/>
      <c r="I18" s="3"/>
      <c r="J18" s="3"/>
      <c r="K18" s="3"/>
      <c r="L18" s="3"/>
      <c r="M18" s="3"/>
      <c r="N18" s="3"/>
      <c r="O18" s="3"/>
      <c r="P18" s="3"/>
      <c r="Q18" s="3"/>
      <c r="R18" s="3"/>
      <c r="S18" s="3"/>
    </row>
    <row r="19" spans="1:19" ht="17" thickBot="1" x14ac:dyDescent="0.25">
      <c r="A19" s="3"/>
      <c r="B19" s="251" t="s">
        <v>490</v>
      </c>
      <c r="C19" s="252"/>
      <c r="D19" s="557" t="s">
        <v>487</v>
      </c>
      <c r="E19" s="558"/>
      <c r="F19" s="557" t="s">
        <v>489</v>
      </c>
      <c r="G19" s="558"/>
      <c r="H19" s="258"/>
      <c r="I19" s="3"/>
      <c r="J19" s="3"/>
      <c r="K19" s="3"/>
      <c r="L19" s="3"/>
      <c r="M19" s="3"/>
      <c r="N19" s="3"/>
      <c r="O19" s="3"/>
      <c r="P19" s="3"/>
      <c r="Q19" s="3"/>
      <c r="R19" s="3"/>
      <c r="S19" s="3"/>
    </row>
    <row r="20" spans="1:19" x14ac:dyDescent="0.2">
      <c r="A20" s="3"/>
      <c r="B20" s="290" t="s">
        <v>506</v>
      </c>
      <c r="C20" s="285" t="str">
        <f>'General Assumptions'!G15</f>
        <v>Drop Down</v>
      </c>
      <c r="D20" s="291"/>
      <c r="E20" s="292"/>
      <c r="F20" s="291"/>
      <c r="G20" s="292"/>
      <c r="H20" s="293"/>
      <c r="I20" s="3"/>
      <c r="J20" s="3"/>
      <c r="K20" s="3"/>
      <c r="L20" s="3"/>
      <c r="M20" s="3"/>
      <c r="N20" s="3"/>
      <c r="O20" s="3"/>
      <c r="P20" s="3"/>
      <c r="Q20" s="3"/>
      <c r="R20" s="3"/>
      <c r="S20" s="3"/>
    </row>
    <row r="21" spans="1:19" x14ac:dyDescent="0.2">
      <c r="A21" s="3"/>
      <c r="B21" s="33" t="s">
        <v>72</v>
      </c>
      <c r="C21" s="71"/>
      <c r="D21" s="253" t="s">
        <v>491</v>
      </c>
      <c r="E21" s="71" t="s">
        <v>162</v>
      </c>
      <c r="F21" s="253" t="s">
        <v>491</v>
      </c>
      <c r="G21" s="71" t="s">
        <v>162</v>
      </c>
      <c r="H21" s="259" t="s">
        <v>163</v>
      </c>
      <c r="I21" s="3"/>
      <c r="J21" s="3"/>
      <c r="K21" s="3"/>
      <c r="L21" s="3"/>
      <c r="M21" s="3"/>
      <c r="N21" s="3"/>
      <c r="O21" s="3"/>
      <c r="P21" s="3"/>
      <c r="Q21" s="3"/>
      <c r="R21" s="3"/>
      <c r="S21" s="3"/>
    </row>
    <row r="22" spans="1:19" x14ac:dyDescent="0.2">
      <c r="A22" s="3"/>
      <c r="B22" s="33" t="s">
        <v>164</v>
      </c>
      <c r="C22" s="71"/>
      <c r="D22" s="254">
        <v>29</v>
      </c>
      <c r="E22" s="39">
        <v>2.5</v>
      </c>
      <c r="F22" s="446"/>
      <c r="G22" s="310"/>
      <c r="H22" s="243">
        <f>IF(ISBLANK(F22),D22,F22)*IF(ISBLANK(G22),E22,G22)</f>
        <v>72.5</v>
      </c>
      <c r="I22" s="3"/>
      <c r="J22" s="3"/>
      <c r="K22" s="3"/>
      <c r="L22" s="3"/>
      <c r="M22" s="3"/>
      <c r="N22" s="3"/>
      <c r="O22" s="3"/>
      <c r="P22" s="3"/>
      <c r="Q22" s="3"/>
      <c r="R22" s="3"/>
      <c r="S22" s="3"/>
    </row>
    <row r="23" spans="1:19" x14ac:dyDescent="0.2">
      <c r="B23" s="33" t="s">
        <v>165</v>
      </c>
      <c r="C23" s="71"/>
      <c r="D23" s="255">
        <v>2723</v>
      </c>
      <c r="E23" s="39">
        <v>1.7</v>
      </c>
      <c r="F23" s="447"/>
      <c r="G23" s="308"/>
      <c r="H23" s="243">
        <f t="shared" ref="H23:H24" si="1">IF(ISBLANK(F23),D23,F23)*IF(ISBLANK(G23),E23,G23)</f>
        <v>4629.0999999999995</v>
      </c>
    </row>
    <row r="24" spans="1:19" x14ac:dyDescent="0.2">
      <c r="B24" s="33" t="s">
        <v>166</v>
      </c>
      <c r="C24" s="71"/>
      <c r="D24" s="255">
        <f>D22+D23</f>
        <v>2752</v>
      </c>
      <c r="E24" s="39">
        <v>0.45</v>
      </c>
      <c r="F24" s="446"/>
      <c r="G24" s="310"/>
      <c r="H24" s="243">
        <f t="shared" si="1"/>
        <v>1238.4000000000001</v>
      </c>
    </row>
    <row r="25" spans="1:19" x14ac:dyDescent="0.2">
      <c r="B25" s="148" t="s">
        <v>167</v>
      </c>
      <c r="C25" s="71"/>
      <c r="D25" s="253"/>
      <c r="E25" s="71"/>
      <c r="F25" s="257"/>
      <c r="G25" s="249"/>
      <c r="H25" s="260">
        <f>IF('General Assumptions'!G15="Yes",SUM(H22:H24),0)</f>
        <v>0</v>
      </c>
    </row>
    <row r="26" spans="1:19" ht="17" thickBot="1" x14ac:dyDescent="0.25">
      <c r="B26" s="76" t="s">
        <v>168</v>
      </c>
      <c r="C26" s="70"/>
      <c r="D26" s="256"/>
      <c r="E26" s="70"/>
      <c r="F26" s="256"/>
      <c r="G26" s="70"/>
      <c r="H26" s="261"/>
    </row>
  </sheetData>
  <sheetProtection algorithmName="SHA-512" hashValue="LFVrHkNBlZ7F/zFbb9f3PgxhKkxT3piuFAASTv46YBCggI2evsJNrTvf15fYEgX5yqm8QzWJFbmavD4UOincvQ==" saltValue="Kh8rX94+08EwvwFi89vPQw==" spinCount="100000" sheet="1" objects="1" scenarios="1"/>
  <mergeCells count="5">
    <mergeCell ref="B5:B6"/>
    <mergeCell ref="C5:F5"/>
    <mergeCell ref="G5:J5"/>
    <mergeCell ref="D19:E19"/>
    <mergeCell ref="F19:G19"/>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1DF3F0-D101-AC4C-92EB-08C4A0B72555}">
  <sheetPr>
    <tabColor theme="1"/>
  </sheetPr>
  <dimension ref="B2:V184"/>
  <sheetViews>
    <sheetView zoomScale="80" zoomScaleNormal="80" workbookViewId="0">
      <selection activeCell="J91" sqref="J91"/>
    </sheetView>
  </sheetViews>
  <sheetFormatPr baseColWidth="10" defaultRowHeight="16" x14ac:dyDescent="0.2"/>
  <cols>
    <col min="1" max="2" width="10.83203125" style="3"/>
    <col min="3" max="3" width="43.5" style="3" bestFit="1" customWidth="1"/>
    <col min="4" max="10" width="10.83203125" style="3"/>
    <col min="11" max="11" width="12" style="3" bestFit="1" customWidth="1"/>
    <col min="12" max="13" width="10.83203125" style="3"/>
    <col min="14" max="14" width="10.83203125" style="4"/>
    <col min="15" max="15" width="26.83203125" style="3" bestFit="1" customWidth="1"/>
    <col min="16" max="16384" width="10.83203125" style="3"/>
  </cols>
  <sheetData>
    <row r="2" spans="2:22" ht="17" thickBot="1" x14ac:dyDescent="0.25">
      <c r="L2" s="26"/>
      <c r="M2" s="26"/>
      <c r="N2" s="25"/>
      <c r="O2" s="26"/>
      <c r="P2" s="26"/>
      <c r="Q2" s="26"/>
      <c r="R2" s="26"/>
      <c r="S2" s="26"/>
      <c r="T2" s="26"/>
      <c r="U2" s="26"/>
      <c r="V2" s="26"/>
    </row>
    <row r="3" spans="2:22" ht="22" thickBot="1" x14ac:dyDescent="0.3">
      <c r="B3" s="559" t="s">
        <v>278</v>
      </c>
      <c r="C3" s="560"/>
      <c r="D3" s="560"/>
      <c r="E3" s="560"/>
      <c r="F3" s="560"/>
      <c r="G3" s="560"/>
      <c r="H3" s="560"/>
      <c r="I3" s="560"/>
      <c r="J3" s="560"/>
      <c r="K3" s="561"/>
      <c r="L3" s="26"/>
      <c r="M3" s="26"/>
      <c r="N3" s="25"/>
      <c r="O3" s="26"/>
      <c r="P3" s="26"/>
      <c r="Q3" s="26"/>
      <c r="R3" s="26"/>
      <c r="S3" s="26"/>
      <c r="T3" s="26"/>
      <c r="U3" s="26"/>
      <c r="V3" s="26"/>
    </row>
    <row r="4" spans="2:22" ht="51" x14ac:dyDescent="0.2">
      <c r="B4" s="94"/>
      <c r="C4" s="134" t="s">
        <v>169</v>
      </c>
      <c r="D4" s="135" t="s">
        <v>170</v>
      </c>
      <c r="E4" s="135" t="s">
        <v>171</v>
      </c>
      <c r="F4" s="135" t="s">
        <v>172</v>
      </c>
      <c r="G4" s="135" t="s">
        <v>173</v>
      </c>
      <c r="H4" s="135" t="s">
        <v>174</v>
      </c>
      <c r="I4" s="135" t="s">
        <v>530</v>
      </c>
      <c r="J4" s="135" t="s">
        <v>175</v>
      </c>
      <c r="K4" s="136" t="s">
        <v>141</v>
      </c>
      <c r="L4" s="26"/>
      <c r="M4" s="26"/>
      <c r="N4" s="25"/>
      <c r="O4" s="137" t="s">
        <v>176</v>
      </c>
      <c r="P4" s="138"/>
      <c r="Q4" s="138"/>
      <c r="R4" s="138"/>
      <c r="S4" s="26"/>
      <c r="T4" s="26"/>
      <c r="U4" s="26"/>
      <c r="V4" s="26"/>
    </row>
    <row r="5" spans="2:22" x14ac:dyDescent="0.2">
      <c r="B5" s="562" t="s">
        <v>279</v>
      </c>
      <c r="C5" s="139" t="s">
        <v>177</v>
      </c>
      <c r="D5" s="51"/>
      <c r="E5" s="450"/>
      <c r="F5" s="450"/>
      <c r="G5" s="211"/>
      <c r="H5" s="212"/>
      <c r="I5" s="212"/>
      <c r="J5" s="212"/>
      <c r="K5" s="451"/>
      <c r="L5" s="26"/>
      <c r="M5" s="26"/>
      <c r="N5" s="25"/>
      <c r="O5" s="41" t="s">
        <v>72</v>
      </c>
      <c r="P5" s="138" t="s">
        <v>42</v>
      </c>
      <c r="Q5" s="138" t="s">
        <v>43</v>
      </c>
      <c r="R5" s="138" t="s">
        <v>44</v>
      </c>
      <c r="S5" s="26"/>
      <c r="T5" s="26"/>
      <c r="U5" s="26"/>
      <c r="V5" s="26"/>
    </row>
    <row r="6" spans="2:22" x14ac:dyDescent="0.2">
      <c r="B6" s="562"/>
      <c r="C6" s="71" t="s">
        <v>500</v>
      </c>
      <c r="D6" s="228"/>
      <c r="E6" s="450"/>
      <c r="F6" s="450"/>
      <c r="G6" s="211"/>
      <c r="H6" s="212"/>
      <c r="I6" s="212"/>
      <c r="J6" s="212"/>
      <c r="K6" s="477">
        <v>0</v>
      </c>
      <c r="L6" s="26"/>
      <c r="M6" s="26"/>
      <c r="N6" s="25"/>
      <c r="O6" s="41"/>
      <c r="P6" s="138"/>
      <c r="Q6" s="138"/>
      <c r="R6" s="138"/>
      <c r="S6" s="26"/>
      <c r="T6" s="26"/>
      <c r="U6" s="26"/>
      <c r="V6" s="26"/>
    </row>
    <row r="7" spans="2:22" x14ac:dyDescent="0.2">
      <c r="B7" s="562"/>
      <c r="C7" s="71" t="s">
        <v>178</v>
      </c>
      <c r="D7" s="51" t="s">
        <v>179</v>
      </c>
      <c r="E7" s="450"/>
      <c r="F7" s="450"/>
      <c r="G7" s="211"/>
      <c r="H7" s="212"/>
      <c r="I7" s="212">
        <f>IF('General Assumptions'!G15="No",0,'Trellis &amp; Drainage'!H24)</f>
        <v>1238.4000000000001</v>
      </c>
      <c r="J7" s="212">
        <f>IF('General Assumptions'!G15="No",0,'Trellis &amp; Drainage'!H22+'Trellis &amp; Drainage'!H23)</f>
        <v>4701.5999999999995</v>
      </c>
      <c r="K7" s="478">
        <f>'Trellis &amp; Drainage'!H25</f>
        <v>0</v>
      </c>
      <c r="L7" s="26" t="s">
        <v>180</v>
      </c>
      <c r="M7" s="26"/>
      <c r="N7" s="25"/>
      <c r="O7" s="25" t="s">
        <v>181</v>
      </c>
      <c r="P7" s="141">
        <f>K17</f>
        <v>806.42560333333347</v>
      </c>
      <c r="Q7" s="141"/>
      <c r="R7" s="141"/>
      <c r="S7" s="26"/>
      <c r="T7" s="26"/>
      <c r="U7" s="26"/>
      <c r="V7" s="26"/>
    </row>
    <row r="8" spans="2:22" x14ac:dyDescent="0.2">
      <c r="B8" s="562"/>
      <c r="C8" s="71" t="s">
        <v>182</v>
      </c>
      <c r="D8" s="51" t="s">
        <v>179</v>
      </c>
      <c r="E8" s="450"/>
      <c r="F8" s="450"/>
      <c r="G8" s="211"/>
      <c r="H8" s="212"/>
      <c r="I8" s="212">
        <v>10</v>
      </c>
      <c r="J8" s="212">
        <f>'Ex. Fertilizer Program'!F7</f>
        <v>90</v>
      </c>
      <c r="K8" s="452">
        <v>100</v>
      </c>
      <c r="L8" s="26" t="s">
        <v>183</v>
      </c>
      <c r="M8" s="26"/>
      <c r="N8" s="25"/>
      <c r="O8" s="25" t="s">
        <v>184</v>
      </c>
      <c r="P8" s="141">
        <f>K20+K21</f>
        <v>6516.8688199999997</v>
      </c>
      <c r="Q8" s="141"/>
      <c r="R8" s="141"/>
      <c r="S8" s="26"/>
      <c r="T8" s="26"/>
      <c r="U8" s="26"/>
      <c r="V8" s="26"/>
    </row>
    <row r="9" spans="2:22" x14ac:dyDescent="0.2">
      <c r="B9" s="562"/>
      <c r="C9" s="71" t="s">
        <v>185</v>
      </c>
      <c r="D9" s="51" t="s">
        <v>179</v>
      </c>
      <c r="E9" s="450"/>
      <c r="F9" s="450"/>
      <c r="G9" s="211"/>
      <c r="H9" s="212">
        <v>10.5</v>
      </c>
      <c r="I9" s="212">
        <f>G9+H9</f>
        <v>10.5</v>
      </c>
      <c r="J9" s="212">
        <f>'General Assumptions'!J21</f>
        <v>22.45966</v>
      </c>
      <c r="K9" s="452">
        <f t="shared" ref="K9:K12" si="0">G9+H9+J9</f>
        <v>32.95966</v>
      </c>
      <c r="L9" s="26"/>
      <c r="M9" s="26"/>
      <c r="N9" s="25"/>
      <c r="O9" s="25" t="s">
        <v>186</v>
      </c>
      <c r="P9" s="141">
        <f>K26</f>
        <v>4904.7811199999996</v>
      </c>
      <c r="Q9" s="141"/>
      <c r="R9" s="141"/>
      <c r="S9" s="26"/>
      <c r="T9" s="26"/>
      <c r="U9" s="26"/>
      <c r="V9" s="26"/>
    </row>
    <row r="10" spans="2:22" x14ac:dyDescent="0.2">
      <c r="B10" s="562"/>
      <c r="C10" s="71" t="s">
        <v>187</v>
      </c>
      <c r="D10" s="51" t="s">
        <v>188</v>
      </c>
      <c r="E10" s="450">
        <v>10</v>
      </c>
      <c r="F10" s="450">
        <v>10</v>
      </c>
      <c r="G10" s="211">
        <f>E10*IF(ISBLANK('General Assumptions'!$G$20),'General Assumptions'!$E$20,'General Assumptions'!$G$20)</f>
        <v>175</v>
      </c>
      <c r="H10" s="212">
        <f>('Machinery &amp; Equipment'!$S$7+'Machinery &amp; Equipment'!$S$15)*'Establishment &amp; Dev Costs'!F10</f>
        <v>215.68819999999999</v>
      </c>
      <c r="I10" s="212">
        <f t="shared" ref="I10:I16" si="1">G10+H10</f>
        <v>390.68819999999999</v>
      </c>
      <c r="J10" s="212"/>
      <c r="K10" s="452">
        <f t="shared" si="0"/>
        <v>390.68819999999999</v>
      </c>
      <c r="L10" s="26"/>
      <c r="M10" s="26"/>
      <c r="N10" s="25"/>
      <c r="O10" s="25" t="s">
        <v>189</v>
      </c>
      <c r="P10" s="141"/>
      <c r="Q10" s="141">
        <f>K42+K57</f>
        <v>207.08763999999999</v>
      </c>
      <c r="R10" s="141">
        <f>K66</f>
        <v>189.58763999999999</v>
      </c>
      <c r="S10" s="26"/>
      <c r="T10" s="26"/>
      <c r="U10" s="26"/>
      <c r="V10" s="26"/>
    </row>
    <row r="11" spans="2:22" x14ac:dyDescent="0.2">
      <c r="B11" s="562"/>
      <c r="C11" s="71" t="s">
        <v>190</v>
      </c>
      <c r="D11" s="51" t="s">
        <v>191</v>
      </c>
      <c r="E11" s="450">
        <v>0.2</v>
      </c>
      <c r="F11" s="450"/>
      <c r="G11" s="211">
        <f>E11*IF(ISBLANK('General Assumptions'!$G$19),'General Assumptions'!$E$19,'General Assumptions'!$G$19)</f>
        <v>4.6000000000000005</v>
      </c>
      <c r="H11" s="212"/>
      <c r="I11" s="212">
        <f t="shared" si="1"/>
        <v>4.6000000000000005</v>
      </c>
      <c r="J11" s="212">
        <f>'Ex. Fertilizer Program'!F6</f>
        <v>4</v>
      </c>
      <c r="K11" s="452">
        <f t="shared" si="0"/>
        <v>8.6000000000000014</v>
      </c>
      <c r="L11" s="26"/>
      <c r="M11" s="26"/>
      <c r="N11" s="25"/>
      <c r="O11" s="25" t="s">
        <v>192</v>
      </c>
      <c r="P11" s="141"/>
      <c r="Q11" s="141">
        <f>K40</f>
        <v>69</v>
      </c>
      <c r="R11" s="141">
        <f>K63</f>
        <v>414</v>
      </c>
      <c r="S11" s="26"/>
      <c r="T11" s="26"/>
      <c r="U11" s="26"/>
      <c r="V11" s="26"/>
    </row>
    <row r="12" spans="2:22" x14ac:dyDescent="0.2">
      <c r="B12" s="562"/>
      <c r="C12" s="71" t="s">
        <v>193</v>
      </c>
      <c r="D12" s="51" t="s">
        <v>191</v>
      </c>
      <c r="E12" s="450">
        <v>0.6</v>
      </c>
      <c r="F12" s="450">
        <v>0.5</v>
      </c>
      <c r="G12" s="211">
        <f>E12*IF(ISBLANK('General Assumptions'!$G$19),'General Assumptions'!$E$19,'General Assumptions'!$G$19)</f>
        <v>13.799999999999999</v>
      </c>
      <c r="H12" s="212">
        <f>('Machinery &amp; Equipment'!$S$7+'Machinery &amp; Equipment'!$S$11)*F12</f>
        <v>11.017743333333334</v>
      </c>
      <c r="I12" s="212">
        <f t="shared" si="1"/>
        <v>24.817743333333333</v>
      </c>
      <c r="J12" s="212">
        <f>'Ex. Fertilizer Program'!F8</f>
        <v>82.5</v>
      </c>
      <c r="K12" s="452">
        <f t="shared" si="0"/>
        <v>107.31774333333334</v>
      </c>
      <c r="L12" s="26"/>
      <c r="M12" s="26"/>
      <c r="N12" s="25"/>
      <c r="O12" s="25" t="s">
        <v>194</v>
      </c>
      <c r="P12" s="141">
        <f>SUM(G25:H25)+SUM(G27)+'General Assumptions'!K21+K28+K32</f>
        <v>214.54726233333332</v>
      </c>
      <c r="Q12" s="141">
        <f>SUM(G44:H44)+SUM(G49:H49)+SUM(G50:H50)+'General Assumptions'!L21</f>
        <v>187.58088699999999</v>
      </c>
      <c r="R12" s="141">
        <f>SUM(G67:H67)+SUM(G73:H73)+SUM(G74:H74)+'General Assumptions'!M21</f>
        <v>234.66125199999999</v>
      </c>
      <c r="S12" s="26"/>
      <c r="T12" s="26"/>
      <c r="U12" s="26"/>
      <c r="V12" s="26"/>
    </row>
    <row r="13" spans="2:22" x14ac:dyDescent="0.2">
      <c r="B13" s="562"/>
      <c r="C13" s="71" t="s">
        <v>195</v>
      </c>
      <c r="D13" s="51" t="s">
        <v>196</v>
      </c>
      <c r="E13" s="450"/>
      <c r="F13" s="450"/>
      <c r="G13" s="211"/>
      <c r="H13" s="212"/>
      <c r="I13" s="212">
        <v>50</v>
      </c>
      <c r="J13" s="212"/>
      <c r="K13" s="452">
        <v>50</v>
      </c>
      <c r="L13" s="26"/>
      <c r="M13" s="26"/>
      <c r="N13" s="25"/>
      <c r="O13" s="25" t="s">
        <v>197</v>
      </c>
      <c r="P13" s="141">
        <f>G22+H22+'General Assumptions'!K23</f>
        <v>334.55274333333335</v>
      </c>
      <c r="Q13" s="141">
        <f>G43+H43+'General Assumptions'!L23</f>
        <v>34.552743333333332</v>
      </c>
      <c r="R13" s="141">
        <f>G82+H82+'General Assumptions'!M23</f>
        <v>173.65994333333336</v>
      </c>
      <c r="S13" s="26"/>
      <c r="T13" s="26"/>
      <c r="U13" s="26"/>
      <c r="V13" s="26"/>
    </row>
    <row r="14" spans="2:22" x14ac:dyDescent="0.2">
      <c r="B14" s="562"/>
      <c r="C14" s="71" t="s">
        <v>198</v>
      </c>
      <c r="D14" s="51" t="s">
        <v>196</v>
      </c>
      <c r="E14" s="450"/>
      <c r="F14" s="450"/>
      <c r="G14" s="211"/>
      <c r="H14" s="212"/>
      <c r="I14" s="212">
        <v>46</v>
      </c>
      <c r="J14" s="212"/>
      <c r="K14" s="452">
        <v>46</v>
      </c>
      <c r="L14" s="26"/>
      <c r="M14" s="26"/>
      <c r="N14" s="25"/>
      <c r="O14" s="25" t="s">
        <v>199</v>
      </c>
      <c r="P14" s="141"/>
      <c r="Q14" s="141">
        <f>K45+K46+K41</f>
        <v>128.1</v>
      </c>
      <c r="R14" s="141">
        <f>K64+K68+K69</f>
        <v>390.6</v>
      </c>
      <c r="S14" s="26"/>
      <c r="T14" s="26"/>
      <c r="U14" s="26"/>
      <c r="V14" s="26"/>
    </row>
    <row r="15" spans="2:22" x14ac:dyDescent="0.2">
      <c r="B15" s="562"/>
      <c r="C15" s="71" t="s">
        <v>200</v>
      </c>
      <c r="D15" s="51" t="s">
        <v>201</v>
      </c>
      <c r="E15" s="450" t="s">
        <v>201</v>
      </c>
      <c r="F15" s="450" t="s">
        <v>201</v>
      </c>
      <c r="G15" s="211"/>
      <c r="H15" s="212">
        <v>70.86</v>
      </c>
      <c r="I15" s="212">
        <f t="shared" si="1"/>
        <v>70.86</v>
      </c>
      <c r="J15" s="212"/>
      <c r="K15" s="452">
        <f>G15+H15+J15</f>
        <v>70.86</v>
      </c>
      <c r="L15" s="26" t="s">
        <v>202</v>
      </c>
      <c r="M15" s="26"/>
      <c r="N15" s="25"/>
      <c r="O15" s="25" t="s">
        <v>203</v>
      </c>
      <c r="P15" s="141">
        <f>SUM(G29:G31)+SUM(H29:H31)+'General Assumptions'!K19</f>
        <v>146.12006299999999</v>
      </c>
      <c r="Q15" s="141">
        <f>SUM(G52:G55)+SUM(H52:H55)+'General Assumptions'!L19</f>
        <v>194.82675066666667</v>
      </c>
      <c r="R15" s="141">
        <f>SUM(G75:G81)+SUM(H75:H81)+'General Assumptions'!M19</f>
        <v>379.41238041666668</v>
      </c>
      <c r="S15" s="26"/>
      <c r="T15" s="26"/>
      <c r="U15" s="26"/>
      <c r="V15" s="26"/>
    </row>
    <row r="16" spans="2:22" x14ac:dyDescent="0.2">
      <c r="B16" s="562"/>
      <c r="C16" s="215"/>
      <c r="D16" s="215"/>
      <c r="E16" s="479"/>
      <c r="F16" s="479"/>
      <c r="G16" s="480"/>
      <c r="H16" s="481"/>
      <c r="I16" s="212">
        <f t="shared" si="1"/>
        <v>0</v>
      </c>
      <c r="J16" s="481"/>
      <c r="K16" s="482"/>
      <c r="L16" s="26"/>
      <c r="M16" s="26"/>
      <c r="N16" s="25"/>
      <c r="O16" s="25" t="s">
        <v>204</v>
      </c>
      <c r="P16" s="141">
        <f>K23+K24</f>
        <v>91.672584000000001</v>
      </c>
      <c r="Q16" s="141">
        <f>K47+K51+K48</f>
        <v>311.07528000000002</v>
      </c>
      <c r="R16" s="141">
        <f>K70+K84+K71</f>
        <v>281.17528000000004</v>
      </c>
      <c r="S16" s="26"/>
      <c r="T16" s="26"/>
      <c r="U16" s="26"/>
      <c r="V16" s="26"/>
    </row>
    <row r="17" spans="2:22" ht="17" thickBot="1" x14ac:dyDescent="0.25">
      <c r="B17" s="563"/>
      <c r="C17" s="144" t="s">
        <v>205</v>
      </c>
      <c r="D17" s="69"/>
      <c r="E17" s="483">
        <f>SUM(E7:E14)</f>
        <v>10.799999999999999</v>
      </c>
      <c r="F17" s="483">
        <f>SUM(F7:F14)</f>
        <v>10.5</v>
      </c>
      <c r="G17" s="484">
        <f>SUM(G7:G14)</f>
        <v>193.4</v>
      </c>
      <c r="H17" s="461">
        <f>SUM(H7:H14)</f>
        <v>237.20594333333332</v>
      </c>
      <c r="I17" s="212">
        <f>SUM(I7:I16)</f>
        <v>1845.8659433333332</v>
      </c>
      <c r="J17" s="461">
        <f>SUM(J7:J14)</f>
        <v>4900.5596599999999</v>
      </c>
      <c r="K17" s="485">
        <f>SUM(K6:K15)</f>
        <v>806.42560333333347</v>
      </c>
      <c r="L17" s="316"/>
      <c r="M17" s="26"/>
      <c r="N17" s="25"/>
      <c r="O17" s="25" t="s">
        <v>206</v>
      </c>
      <c r="P17" s="141"/>
      <c r="Q17" s="141">
        <f>K56</f>
        <v>103.09764000000001</v>
      </c>
      <c r="R17" s="141">
        <f>K83+K65</f>
        <v>151.06646000000001</v>
      </c>
      <c r="S17" s="26"/>
      <c r="T17" s="26"/>
      <c r="U17" s="26"/>
      <c r="V17" s="26"/>
    </row>
    <row r="18" spans="2:22" ht="34" x14ac:dyDescent="0.2">
      <c r="B18" s="94"/>
      <c r="C18" s="134" t="s">
        <v>169</v>
      </c>
      <c r="D18" s="135" t="s">
        <v>170</v>
      </c>
      <c r="E18" s="135" t="s">
        <v>171</v>
      </c>
      <c r="F18" s="135" t="s">
        <v>172</v>
      </c>
      <c r="G18" s="135" t="s">
        <v>173</v>
      </c>
      <c r="H18" s="135" t="s">
        <v>174</v>
      </c>
      <c r="I18" s="135"/>
      <c r="J18" s="135" t="s">
        <v>175</v>
      </c>
      <c r="K18" s="136" t="s">
        <v>141</v>
      </c>
      <c r="L18" s="26"/>
      <c r="M18" s="26"/>
      <c r="N18" s="25"/>
      <c r="O18" s="25" t="s">
        <v>252</v>
      </c>
      <c r="P18" s="26"/>
      <c r="Q18" s="26"/>
      <c r="R18" s="141">
        <f>K72</f>
        <v>70</v>
      </c>
      <c r="S18" s="26"/>
      <c r="T18" s="26"/>
      <c r="U18" s="26"/>
      <c r="V18" s="26"/>
    </row>
    <row r="19" spans="2:22" x14ac:dyDescent="0.2">
      <c r="B19" s="562" t="s">
        <v>280</v>
      </c>
      <c r="C19" s="139" t="s">
        <v>208</v>
      </c>
      <c r="D19" s="51"/>
      <c r="E19" s="450"/>
      <c r="F19" s="450"/>
      <c r="G19" s="450"/>
      <c r="H19" s="450"/>
      <c r="I19" s="450"/>
      <c r="J19" s="450"/>
      <c r="K19" s="452"/>
      <c r="L19" s="26"/>
      <c r="M19" s="26"/>
      <c r="N19" s="25"/>
      <c r="O19" s="25"/>
      <c r="P19" s="26"/>
      <c r="Q19" s="26"/>
      <c r="R19" s="138"/>
      <c r="S19" s="26"/>
      <c r="T19" s="26"/>
      <c r="U19" s="26"/>
      <c r="V19" s="26"/>
    </row>
    <row r="20" spans="2:22" x14ac:dyDescent="0.2">
      <c r="B20" s="562"/>
      <c r="C20" s="71" t="s">
        <v>209</v>
      </c>
      <c r="D20" s="51" t="s">
        <v>191</v>
      </c>
      <c r="E20" s="450">
        <v>1</v>
      </c>
      <c r="F20" s="450">
        <v>1</v>
      </c>
      <c r="G20" s="212">
        <f>E20*IF(ISBLANK('General Assumptions'!$G$19),'General Assumptions'!$E$19,'General Assumptions'!$G$19)</f>
        <v>23</v>
      </c>
      <c r="H20" s="212">
        <f>'Machinery &amp; Equipment'!$S$7*F20</f>
        <v>20.368819999999999</v>
      </c>
      <c r="I20" s="212">
        <f>G20+H20</f>
        <v>43.368819999999999</v>
      </c>
      <c r="J20" s="212"/>
      <c r="K20" s="452">
        <f>G20+H20+J20</f>
        <v>43.368819999999999</v>
      </c>
      <c r="L20" s="26" t="s">
        <v>210</v>
      </c>
      <c r="M20" s="26"/>
      <c r="N20" s="142"/>
      <c r="O20" s="25"/>
      <c r="P20" s="26"/>
      <c r="Q20" s="26"/>
      <c r="R20" s="138"/>
      <c r="S20" s="26"/>
      <c r="T20" s="26"/>
      <c r="U20" s="26"/>
      <c r="V20" s="26"/>
    </row>
    <row r="21" spans="2:22" x14ac:dyDescent="0.2">
      <c r="B21" s="562"/>
      <c r="C21" s="71" t="s">
        <v>493</v>
      </c>
      <c r="D21" s="51" t="s">
        <v>179</v>
      </c>
      <c r="E21" s="450"/>
      <c r="F21" s="450"/>
      <c r="G21" s="212">
        <f>IF(ISBLANK('General Assumptions'!G10),'General Assumptions'!E10,'General Assumptions'!G10)*IF(ISBLANK('General Assumptions'!G24),'General Assumptions'!E24,'General Assumptions'!G24)</f>
        <v>1331</v>
      </c>
      <c r="H21" s="212"/>
      <c r="I21" s="212">
        <f t="shared" ref="I21:I35" si="2">G21+H21</f>
        <v>1331</v>
      </c>
      <c r="J21" s="212">
        <f>IF(ISBLANK('General Assumptions'!G25),'General Assumptions'!E25,'General Assumptions'!G25)*IF(ISBLANK('General Assumptions'!G10),'General Assumptions'!E10,'General Assumptions'!G10)</f>
        <v>5142.5</v>
      </c>
      <c r="K21" s="452">
        <f>G21+H21+J21</f>
        <v>6473.5</v>
      </c>
      <c r="L21" s="26" t="s">
        <v>210</v>
      </c>
      <c r="M21" s="26"/>
      <c r="N21" s="25"/>
      <c r="O21" s="25"/>
      <c r="P21" s="26"/>
      <c r="Q21" s="26"/>
      <c r="R21" s="138"/>
      <c r="S21" s="26"/>
      <c r="T21" s="26"/>
      <c r="U21" s="26"/>
      <c r="V21" s="26"/>
    </row>
    <row r="22" spans="2:22" x14ac:dyDescent="0.2">
      <c r="B22" s="562"/>
      <c r="C22" s="71" t="s">
        <v>211</v>
      </c>
      <c r="D22" s="51" t="s">
        <v>191</v>
      </c>
      <c r="E22" s="450">
        <v>0.6</v>
      </c>
      <c r="F22" s="450">
        <v>0.5</v>
      </c>
      <c r="G22" s="212">
        <f>E22*IF(ISBLANK('General Assumptions'!$G$19),'General Assumptions'!$E$19,'General Assumptions'!$G$19)</f>
        <v>13.799999999999999</v>
      </c>
      <c r="H22" s="212">
        <f>('Machinery &amp; Equipment'!$S$7+'Machinery &amp; Equipment'!$S$11)*'Establishment &amp; Dev Costs'!F22</f>
        <v>11.017743333333334</v>
      </c>
      <c r="I22" s="212">
        <f t="shared" si="2"/>
        <v>24.817743333333333</v>
      </c>
      <c r="J22" s="212">
        <f>'General Assumptions'!K23</f>
        <v>309.73500000000001</v>
      </c>
      <c r="K22" s="452">
        <f>G22+H22+J22</f>
        <v>334.55274333333335</v>
      </c>
      <c r="L22" s="26" t="s">
        <v>212</v>
      </c>
      <c r="M22" s="26"/>
      <c r="N22" s="25"/>
      <c r="O22" s="25"/>
      <c r="P22" s="26"/>
      <c r="Q22" s="26"/>
      <c r="R22" s="138"/>
      <c r="S22" s="26"/>
      <c r="T22" s="26"/>
      <c r="U22" s="26"/>
      <c r="V22" s="26"/>
    </row>
    <row r="23" spans="2:22" x14ac:dyDescent="0.2">
      <c r="B23" s="562"/>
      <c r="C23" s="71" t="s">
        <v>213</v>
      </c>
      <c r="D23" s="51" t="s">
        <v>191</v>
      </c>
      <c r="E23" s="450">
        <v>1.5</v>
      </c>
      <c r="F23" s="450">
        <v>1.2</v>
      </c>
      <c r="G23" s="212">
        <f>E23*IF(ISBLANK('General Assumptions'!$G$19),'General Assumptions'!$E$19,'General Assumptions'!$G$19)</f>
        <v>34.5</v>
      </c>
      <c r="H23" s="212">
        <f>F23*('Machinery &amp; Equipment'!$S$7+'Machinery &amp; Equipment'!$S$13)</f>
        <v>30.922583999999997</v>
      </c>
      <c r="I23" s="212">
        <f t="shared" si="2"/>
        <v>65.422584000000001</v>
      </c>
      <c r="J23" s="212"/>
      <c r="K23" s="452">
        <f>G23+H23</f>
        <v>65.422584000000001</v>
      </c>
      <c r="L23" s="26" t="s">
        <v>214</v>
      </c>
      <c r="M23" s="26"/>
      <c r="N23" s="25"/>
      <c r="O23" s="25"/>
      <c r="P23" s="26"/>
      <c r="Q23" s="26"/>
      <c r="R23" s="138"/>
      <c r="S23" s="26"/>
      <c r="T23" s="26"/>
      <c r="U23" s="26"/>
      <c r="V23" s="26"/>
    </row>
    <row r="24" spans="2:22" x14ac:dyDescent="0.2">
      <c r="B24" s="562"/>
      <c r="C24" s="71" t="s">
        <v>213</v>
      </c>
      <c r="D24" s="51" t="s">
        <v>188</v>
      </c>
      <c r="E24" s="450">
        <v>1.5</v>
      </c>
      <c r="F24" s="450"/>
      <c r="G24" s="212">
        <f>E24*IF(ISBLANK('General Assumptions'!$G$20),'General Assumptions'!$E$20,'General Assumptions'!$G$20)</f>
        <v>26.25</v>
      </c>
      <c r="H24" s="212"/>
      <c r="I24" s="212">
        <f t="shared" si="2"/>
        <v>26.25</v>
      </c>
      <c r="J24" s="212"/>
      <c r="K24" s="452">
        <f>G24+H24</f>
        <v>26.25</v>
      </c>
      <c r="L24" s="26" t="s">
        <v>214</v>
      </c>
      <c r="M24" s="26"/>
      <c r="N24" s="25"/>
      <c r="O24" s="25"/>
      <c r="P24" s="26"/>
      <c r="Q24" s="26"/>
      <c r="R24" s="138"/>
      <c r="S24" s="26"/>
      <c r="T24" s="26"/>
      <c r="U24" s="26"/>
      <c r="V24" s="26"/>
    </row>
    <row r="25" spans="2:22" ht="17" customHeight="1" x14ac:dyDescent="0.2">
      <c r="B25" s="562"/>
      <c r="C25" s="143" t="s">
        <v>215</v>
      </c>
      <c r="D25" s="51" t="s">
        <v>191</v>
      </c>
      <c r="E25" s="450">
        <v>1.25</v>
      </c>
      <c r="F25" s="450">
        <v>1.25</v>
      </c>
      <c r="G25" s="212">
        <f>E25*IF(ISBLANK('General Assumptions'!$G$19),'General Assumptions'!$E$19,'General Assumptions'!$G$19)</f>
        <v>28.75</v>
      </c>
      <c r="H25" s="212">
        <f>F25*('Machinery &amp; Equipment'!$S$7+'Machinery &amp; Equipment'!$S$9)</f>
        <v>26.717274999999997</v>
      </c>
      <c r="I25" s="212">
        <f t="shared" si="2"/>
        <v>55.467275000000001</v>
      </c>
      <c r="J25" s="212">
        <f>'Ex. Herbidcide Program'!J8</f>
        <v>27.03</v>
      </c>
      <c r="K25" s="452">
        <f t="shared" ref="K25:K32" si="3">G25+H25+J25</f>
        <v>82.497275000000002</v>
      </c>
      <c r="L25" s="26" t="s">
        <v>216</v>
      </c>
      <c r="M25" s="26"/>
      <c r="N25" s="25"/>
      <c r="O25" s="25"/>
      <c r="P25" s="26"/>
      <c r="Q25" s="26"/>
      <c r="R25" s="138"/>
      <c r="S25" s="26"/>
      <c r="T25" s="26"/>
      <c r="U25" s="26"/>
      <c r="V25" s="26"/>
    </row>
    <row r="26" spans="2:22" ht="17" customHeight="1" x14ac:dyDescent="0.2">
      <c r="B26" s="562"/>
      <c r="C26" s="143" t="s">
        <v>217</v>
      </c>
      <c r="D26" s="51" t="s">
        <v>191</v>
      </c>
      <c r="E26" s="450">
        <v>60</v>
      </c>
      <c r="F26" s="450">
        <v>16</v>
      </c>
      <c r="G26" s="212">
        <f>E26*IF(ISBLANK('General Assumptions'!$G$19),'General Assumptions'!$E$19,'General Assumptions'!$G$19)</f>
        <v>1380</v>
      </c>
      <c r="H26" s="212">
        <f>F26*('Machinery &amp; Equipment'!$S$7+'Machinery &amp; Equipment'!$S$15+'Machinery &amp; Equipment'!$S$17)</f>
        <v>352.90911999999997</v>
      </c>
      <c r="I26" s="212">
        <f t="shared" si="2"/>
        <v>1732.90912</v>
      </c>
      <c r="J26" s="212">
        <f>'Trellis &amp; Drainage'!K15</f>
        <v>3171.8719999999998</v>
      </c>
      <c r="K26" s="452">
        <f t="shared" si="3"/>
        <v>4904.7811199999996</v>
      </c>
      <c r="L26" s="26" t="s">
        <v>218</v>
      </c>
      <c r="M26" s="26"/>
      <c r="N26" s="25"/>
      <c r="O26" s="25"/>
      <c r="P26" s="26"/>
      <c r="Q26" s="26"/>
      <c r="R26" s="138"/>
      <c r="S26" s="26"/>
      <c r="T26" s="26"/>
      <c r="U26" s="26"/>
      <c r="V26" s="26"/>
    </row>
    <row r="27" spans="2:22" ht="16" customHeight="1" x14ac:dyDescent="0.2">
      <c r="B27" s="562"/>
      <c r="C27" s="143" t="s">
        <v>219</v>
      </c>
      <c r="D27" s="51" t="s">
        <v>191</v>
      </c>
      <c r="E27" s="450">
        <v>1</v>
      </c>
      <c r="F27" s="450"/>
      <c r="G27" s="212">
        <f>E27*IF(ISBLANK('General Assumptions'!$G$19),'General Assumptions'!$E$19,'General Assumptions'!$G$19)</f>
        <v>23</v>
      </c>
      <c r="H27" s="212"/>
      <c r="I27" s="212">
        <f t="shared" si="2"/>
        <v>23</v>
      </c>
      <c r="J27" s="212">
        <f>'Ex. Herbidcide Program'!J9</f>
        <v>14.45966</v>
      </c>
      <c r="K27" s="452">
        <f t="shared" si="3"/>
        <v>37.45966</v>
      </c>
      <c r="L27" s="26" t="s">
        <v>216</v>
      </c>
      <c r="M27" s="26"/>
      <c r="N27" s="25"/>
      <c r="O27" s="25"/>
      <c r="P27" s="26"/>
      <c r="Q27" s="26"/>
      <c r="R27" s="138"/>
      <c r="S27" s="26"/>
      <c r="T27" s="26"/>
      <c r="U27" s="26"/>
      <c r="V27" s="26"/>
    </row>
    <row r="28" spans="2:22" ht="20" customHeight="1" x14ac:dyDescent="0.2">
      <c r="B28" s="562"/>
      <c r="C28" s="143" t="s">
        <v>220</v>
      </c>
      <c r="D28" s="51" t="s">
        <v>191</v>
      </c>
      <c r="E28" s="450">
        <v>1.2</v>
      </c>
      <c r="F28" s="450">
        <v>1.2</v>
      </c>
      <c r="G28" s="212">
        <f>E28*IF(ISBLANK('General Assumptions'!$G$19),'General Assumptions'!$E$19,'General Assumptions'!$G$19)</f>
        <v>27.599999999999998</v>
      </c>
      <c r="H28" s="212">
        <f>F28*('Machinery &amp; Equipment'!$S$7+'Machinery &amp; Equipment'!$S$13)</f>
        <v>30.922583999999997</v>
      </c>
      <c r="I28" s="212">
        <f t="shared" si="2"/>
        <v>58.522583999999995</v>
      </c>
      <c r="J28" s="212"/>
      <c r="K28" s="452">
        <f t="shared" si="3"/>
        <v>58.522583999999995</v>
      </c>
      <c r="L28" s="26" t="s">
        <v>216</v>
      </c>
      <c r="M28" s="26"/>
      <c r="N28" s="25"/>
      <c r="O28" s="25"/>
      <c r="P28" s="26"/>
      <c r="Q28" s="26"/>
      <c r="R28" s="138"/>
      <c r="S28" s="26"/>
      <c r="T28" s="26"/>
      <c r="U28" s="26"/>
      <c r="V28" s="26"/>
    </row>
    <row r="29" spans="2:22" ht="17" x14ac:dyDescent="0.2">
      <c r="B29" s="562"/>
      <c r="C29" s="143" t="s">
        <v>221</v>
      </c>
      <c r="D29" s="51" t="s">
        <v>191</v>
      </c>
      <c r="E29" s="450">
        <v>0.4</v>
      </c>
      <c r="F29" s="450">
        <v>0.3</v>
      </c>
      <c r="G29" s="212">
        <f>E29*IF(ISBLANK('General Assumptions'!$G$19),'General Assumptions'!$E$19,'General Assumptions'!$G$19)</f>
        <v>9.2000000000000011</v>
      </c>
      <c r="H29" s="212">
        <f>F29*('Machinery &amp; Equipment'!$S$7+'Machinery &amp; Equipment'!$S$8)</f>
        <v>9.2606459999999995</v>
      </c>
      <c r="I29" s="212">
        <f t="shared" si="2"/>
        <v>18.460646000000001</v>
      </c>
      <c r="J29" s="212">
        <f>'Ex. Spray Program'!R7</f>
        <v>30.246041666666667</v>
      </c>
      <c r="K29" s="452">
        <f t="shared" si="3"/>
        <v>48.706687666666667</v>
      </c>
      <c r="L29" s="26" t="s">
        <v>203</v>
      </c>
      <c r="M29" s="26"/>
      <c r="N29" s="25"/>
      <c r="O29" s="25"/>
      <c r="P29" s="26"/>
      <c r="Q29" s="26"/>
      <c r="R29" s="138"/>
      <c r="S29" s="26"/>
      <c r="T29" s="26"/>
      <c r="U29" s="26"/>
      <c r="V29" s="26"/>
    </row>
    <row r="30" spans="2:22" ht="17" x14ac:dyDescent="0.2">
      <c r="B30" s="562"/>
      <c r="C30" s="143" t="s">
        <v>222</v>
      </c>
      <c r="D30" s="51" t="s">
        <v>191</v>
      </c>
      <c r="E30" s="450">
        <v>0.4</v>
      </c>
      <c r="F30" s="450">
        <v>0.3</v>
      </c>
      <c r="G30" s="212">
        <f>E30*IF(ISBLANK('General Assumptions'!$G$19),'General Assumptions'!$E$19,'General Assumptions'!$G$19)</f>
        <v>9.2000000000000011</v>
      </c>
      <c r="H30" s="212">
        <f>F30*('Machinery &amp; Equipment'!$S$7+'Machinery &amp; Equipment'!$S$8)</f>
        <v>9.2606459999999995</v>
      </c>
      <c r="I30" s="212">
        <f t="shared" si="2"/>
        <v>18.460646000000001</v>
      </c>
      <c r="J30" s="212">
        <f>'Ex. Spray Program'!R10</f>
        <v>30.246041666666667</v>
      </c>
      <c r="K30" s="452">
        <f t="shared" si="3"/>
        <v>48.706687666666667</v>
      </c>
      <c r="L30" s="26" t="s">
        <v>203</v>
      </c>
      <c r="M30" s="26"/>
      <c r="N30" s="25"/>
      <c r="O30" s="25"/>
      <c r="P30" s="26"/>
      <c r="Q30" s="26"/>
      <c r="R30" s="138"/>
      <c r="S30" s="26"/>
      <c r="T30" s="26"/>
      <c r="U30" s="26"/>
      <c r="V30" s="26"/>
    </row>
    <row r="31" spans="2:22" ht="17" x14ac:dyDescent="0.2">
      <c r="B31" s="562"/>
      <c r="C31" s="143" t="s">
        <v>223</v>
      </c>
      <c r="D31" s="51" t="s">
        <v>191</v>
      </c>
      <c r="E31" s="450">
        <v>0.4</v>
      </c>
      <c r="F31" s="450">
        <v>0.3</v>
      </c>
      <c r="G31" s="212">
        <f>E31*IF(ISBLANK('General Assumptions'!$G$19),'General Assumptions'!$E$19,'General Assumptions'!$G$19)</f>
        <v>9.2000000000000011</v>
      </c>
      <c r="H31" s="212">
        <f>F31*('Machinery &amp; Equipment'!$S$7+'Machinery &amp; Equipment'!$S$8)</f>
        <v>9.2606459999999995</v>
      </c>
      <c r="I31" s="212">
        <f t="shared" si="2"/>
        <v>18.460646000000001</v>
      </c>
      <c r="J31" s="212">
        <f>'Ex. Spray Program'!R13</f>
        <v>30.246041666666667</v>
      </c>
      <c r="K31" s="452">
        <f t="shared" si="3"/>
        <v>48.706687666666667</v>
      </c>
      <c r="L31" s="26" t="s">
        <v>203</v>
      </c>
      <c r="M31" s="26"/>
      <c r="N31" s="25"/>
      <c r="O31" s="25"/>
      <c r="P31" s="26"/>
      <c r="Q31" s="26"/>
      <c r="R31" s="138"/>
      <c r="S31" s="26"/>
      <c r="T31" s="26"/>
      <c r="U31" s="26"/>
      <c r="V31" s="26"/>
    </row>
    <row r="32" spans="2:22" x14ac:dyDescent="0.2">
      <c r="B32" s="562"/>
      <c r="C32" s="71" t="s">
        <v>224</v>
      </c>
      <c r="D32" s="51" t="s">
        <v>191</v>
      </c>
      <c r="E32" s="450">
        <v>0.6</v>
      </c>
      <c r="F32" s="450">
        <v>0.5</v>
      </c>
      <c r="G32" s="212">
        <f>E32*IF(ISBLANK('General Assumptions'!$G$19),'General Assumptions'!$E$19,'General Assumptions'!$G$19)</f>
        <v>13.799999999999999</v>
      </c>
      <c r="H32" s="212">
        <f>F32*('Machinery &amp; Equipment'!$S$7+'Machinery &amp; Equipment'!$S$11)</f>
        <v>11.017743333333334</v>
      </c>
      <c r="I32" s="212">
        <f t="shared" si="2"/>
        <v>24.817743333333333</v>
      </c>
      <c r="J32" s="212">
        <f>1.5*7.5</f>
        <v>11.25</v>
      </c>
      <c r="K32" s="452">
        <f t="shared" si="3"/>
        <v>36.067743333333333</v>
      </c>
      <c r="L32" s="26" t="s">
        <v>224</v>
      </c>
      <c r="M32" s="26"/>
      <c r="N32" s="25"/>
      <c r="O32" s="25"/>
      <c r="P32" s="26"/>
      <c r="Q32" s="26"/>
      <c r="R32" s="138"/>
      <c r="S32" s="26"/>
      <c r="T32" s="26"/>
      <c r="U32" s="26"/>
      <c r="V32" s="26"/>
    </row>
    <row r="33" spans="2:22" x14ac:dyDescent="0.2">
      <c r="B33" s="562"/>
      <c r="C33" s="71" t="s">
        <v>200</v>
      </c>
      <c r="D33" s="51" t="s">
        <v>201</v>
      </c>
      <c r="E33" s="450" t="s">
        <v>201</v>
      </c>
      <c r="F33" s="450" t="s">
        <v>201</v>
      </c>
      <c r="G33" s="212"/>
      <c r="H33" s="212">
        <v>70.86</v>
      </c>
      <c r="I33" s="212">
        <f t="shared" si="2"/>
        <v>70.86</v>
      </c>
      <c r="J33" s="212"/>
      <c r="K33" s="452">
        <f>G33+H33+J33</f>
        <v>70.86</v>
      </c>
      <c r="L33" s="26" t="s">
        <v>202</v>
      </c>
      <c r="M33" s="26"/>
      <c r="N33" s="25"/>
      <c r="O33" s="25"/>
      <c r="P33" s="26"/>
      <c r="Q33" s="26"/>
      <c r="R33" s="138"/>
      <c r="S33" s="26"/>
      <c r="T33" s="26"/>
      <c r="U33" s="26"/>
      <c r="V33" s="26"/>
    </row>
    <row r="34" spans="2:22" x14ac:dyDescent="0.2">
      <c r="B34" s="562"/>
      <c r="C34" s="215"/>
      <c r="D34" s="215"/>
      <c r="E34" s="479"/>
      <c r="F34" s="479"/>
      <c r="G34" s="481"/>
      <c r="H34" s="481"/>
      <c r="I34" s="212">
        <f t="shared" si="2"/>
        <v>0</v>
      </c>
      <c r="J34" s="481"/>
      <c r="K34" s="482"/>
      <c r="L34" s="26"/>
      <c r="M34" s="26"/>
      <c r="N34" s="25"/>
      <c r="O34" s="25"/>
      <c r="P34" s="26"/>
      <c r="Q34" s="26"/>
      <c r="R34" s="138"/>
      <c r="S34" s="26"/>
      <c r="T34" s="26"/>
      <c r="U34" s="26"/>
      <c r="V34" s="26"/>
    </row>
    <row r="35" spans="2:22" x14ac:dyDescent="0.2">
      <c r="B35" s="562"/>
      <c r="C35" s="139" t="s">
        <v>205</v>
      </c>
      <c r="D35" s="51"/>
      <c r="E35" s="450">
        <f>SUM(E13:E32)</f>
        <v>80.65000000000002</v>
      </c>
      <c r="F35" s="450">
        <f>SUM(F20:F32)</f>
        <v>22.55</v>
      </c>
      <c r="G35" s="212">
        <f>SUM(G20:G33)</f>
        <v>2929.2999999999997</v>
      </c>
      <c r="H35" s="212">
        <f>SUM(H20:H33)</f>
        <v>582.51780766666661</v>
      </c>
      <c r="I35" s="212">
        <f t="shared" si="2"/>
        <v>3511.8178076666663</v>
      </c>
      <c r="J35" s="212">
        <f>SUM(J20:J33)</f>
        <v>8767.5847850000009</v>
      </c>
      <c r="K35" s="486">
        <f>SUM(K20:K33)</f>
        <v>12279.402592666667</v>
      </c>
      <c r="L35" s="26"/>
      <c r="M35" s="26"/>
      <c r="N35" s="25"/>
      <c r="O35" s="25"/>
      <c r="P35" s="26"/>
      <c r="Q35" s="26"/>
      <c r="R35" s="138"/>
      <c r="S35" s="26"/>
      <c r="T35" s="26"/>
      <c r="U35" s="26"/>
      <c r="V35" s="26"/>
    </row>
    <row r="36" spans="2:22" x14ac:dyDescent="0.2">
      <c r="B36" s="562"/>
      <c r="C36" s="216"/>
      <c r="D36" s="217"/>
      <c r="E36" s="479"/>
      <c r="F36" s="479"/>
      <c r="G36" s="487"/>
      <c r="H36" s="487"/>
      <c r="I36" s="487"/>
      <c r="J36" s="487"/>
      <c r="K36" s="488"/>
      <c r="L36" s="26"/>
      <c r="M36" s="26"/>
      <c r="N36" s="25"/>
      <c r="O36" s="25"/>
      <c r="P36" s="26"/>
      <c r="Q36" s="26"/>
      <c r="R36" s="138"/>
      <c r="S36" s="26"/>
      <c r="T36" s="26"/>
      <c r="U36" s="26"/>
      <c r="V36" s="26"/>
    </row>
    <row r="37" spans="2:22" ht="17" thickBot="1" x14ac:dyDescent="0.25">
      <c r="B37" s="563"/>
      <c r="C37" s="144" t="s">
        <v>225</v>
      </c>
      <c r="D37" s="69"/>
      <c r="E37" s="483"/>
      <c r="F37" s="483"/>
      <c r="G37" s="489"/>
      <c r="H37" s="489"/>
      <c r="I37" s="489"/>
      <c r="J37" s="489"/>
      <c r="K37" s="485">
        <f>K17+K35</f>
        <v>13085.828196</v>
      </c>
      <c r="L37" s="26"/>
      <c r="M37" s="26"/>
      <c r="N37" s="25"/>
      <c r="O37" s="25"/>
      <c r="P37" s="26"/>
      <c r="Q37" s="26"/>
      <c r="R37" s="138"/>
      <c r="S37" s="26"/>
      <c r="T37" s="26"/>
      <c r="U37" s="26"/>
      <c r="V37" s="26"/>
    </row>
    <row r="38" spans="2:22" ht="34" x14ac:dyDescent="0.2">
      <c r="B38" s="94"/>
      <c r="C38" s="134" t="s">
        <v>169</v>
      </c>
      <c r="D38" s="135" t="s">
        <v>170</v>
      </c>
      <c r="E38" s="135" t="s">
        <v>171</v>
      </c>
      <c r="F38" s="135" t="s">
        <v>172</v>
      </c>
      <c r="G38" s="135" t="s">
        <v>173</v>
      </c>
      <c r="H38" s="135" t="s">
        <v>174</v>
      </c>
      <c r="I38" s="135"/>
      <c r="J38" s="135" t="s">
        <v>175</v>
      </c>
      <c r="K38" s="136" t="s">
        <v>226</v>
      </c>
      <c r="L38" s="26"/>
      <c r="M38" s="26"/>
      <c r="N38" s="25"/>
      <c r="O38" s="25"/>
      <c r="P38" s="26"/>
      <c r="Q38" s="26"/>
      <c r="R38" s="138"/>
      <c r="S38" s="26"/>
      <c r="T38" s="26"/>
      <c r="U38" s="26"/>
      <c r="V38" s="26"/>
    </row>
    <row r="39" spans="2:22" x14ac:dyDescent="0.2">
      <c r="B39" s="562" t="s">
        <v>281</v>
      </c>
      <c r="C39" s="145" t="s">
        <v>227</v>
      </c>
      <c r="D39" s="51"/>
      <c r="E39" s="450"/>
      <c r="F39" s="450"/>
      <c r="G39" s="450"/>
      <c r="H39" s="450"/>
      <c r="I39" s="450"/>
      <c r="J39" s="450"/>
      <c r="K39" s="451"/>
      <c r="L39" s="26"/>
      <c r="M39" s="26"/>
      <c r="N39" s="25"/>
      <c r="O39" s="25"/>
      <c r="P39" s="26"/>
      <c r="Q39" s="26"/>
      <c r="R39" s="138"/>
      <c r="S39" s="26"/>
      <c r="T39" s="26"/>
      <c r="U39" s="26"/>
      <c r="V39" s="26"/>
    </row>
    <row r="40" spans="2:22" x14ac:dyDescent="0.2">
      <c r="B40" s="562"/>
      <c r="C40" s="71" t="s">
        <v>228</v>
      </c>
      <c r="D40" s="51" t="s">
        <v>191</v>
      </c>
      <c r="E40" s="450">
        <v>3</v>
      </c>
      <c r="F40" s="450"/>
      <c r="G40" s="212">
        <f>E40*IF(ISBLANK('General Assumptions'!$G$19),'General Assumptions'!$E$19,'General Assumptions'!$G$19)</f>
        <v>69</v>
      </c>
      <c r="H40" s="212"/>
      <c r="I40" s="212">
        <f>G40+H40</f>
        <v>69</v>
      </c>
      <c r="J40" s="212"/>
      <c r="K40" s="452">
        <f t="shared" ref="K40:K57" si="4">G40+H40+J40</f>
        <v>69</v>
      </c>
      <c r="L40" s="26" t="s">
        <v>229</v>
      </c>
      <c r="M40" s="26"/>
      <c r="N40" s="25"/>
      <c r="O40" s="25"/>
      <c r="P40" s="26"/>
      <c r="Q40" s="26"/>
      <c r="R40" s="138"/>
      <c r="S40" s="26"/>
      <c r="T40" s="26"/>
      <c r="U40" s="26"/>
      <c r="V40" s="26"/>
    </row>
    <row r="41" spans="2:22" x14ac:dyDescent="0.2">
      <c r="B41" s="562"/>
      <c r="C41" s="71" t="s">
        <v>230</v>
      </c>
      <c r="D41" s="51" t="s">
        <v>188</v>
      </c>
      <c r="E41" s="450">
        <v>2</v>
      </c>
      <c r="F41" s="450"/>
      <c r="G41" s="212">
        <f>E41*IF(ISBLANK('General Assumptions'!$G$20),'General Assumptions'!$E$20,'General Assumptions'!$G$20)</f>
        <v>35</v>
      </c>
      <c r="H41" s="212"/>
      <c r="I41" s="212">
        <f t="shared" ref="I41:I60" si="5">G41+H41</f>
        <v>35</v>
      </c>
      <c r="J41" s="212">
        <v>5.6</v>
      </c>
      <c r="K41" s="452">
        <f t="shared" si="4"/>
        <v>40.6</v>
      </c>
      <c r="L41" s="26" t="s">
        <v>231</v>
      </c>
      <c r="M41" s="26"/>
      <c r="N41" s="25"/>
      <c r="O41" s="25"/>
      <c r="P41" s="26"/>
      <c r="Q41" s="26"/>
      <c r="R41" s="138"/>
      <c r="S41" s="26"/>
      <c r="T41" s="26"/>
      <c r="U41" s="26"/>
      <c r="V41" s="26"/>
    </row>
    <row r="42" spans="2:22" x14ac:dyDescent="0.2">
      <c r="B42" s="562"/>
      <c r="C42" s="71" t="s">
        <v>232</v>
      </c>
      <c r="D42" s="51" t="s">
        <v>191</v>
      </c>
      <c r="E42" s="450">
        <v>2</v>
      </c>
      <c r="F42" s="450">
        <v>2</v>
      </c>
      <c r="G42" s="212">
        <f>E42*IF(ISBLANK('General Assumptions'!$G$19),'General Assumptions'!$E$19,'General Assumptions'!$G$19)</f>
        <v>46</v>
      </c>
      <c r="H42" s="212">
        <f>F42*'Machinery &amp; Equipment'!$S$7</f>
        <v>40.737639999999999</v>
      </c>
      <c r="I42" s="212">
        <f t="shared" si="5"/>
        <v>86.737639999999999</v>
      </c>
      <c r="J42" s="212">
        <f>IF('General Assumptions'!G10="",'General Assumptions'!E10,'General Assumptions'!G10)*IF(ISBLANK('General Assumptions'!G26),'General Assumptions'!E26,'General Assumptions'!G26)*IF(ISBLANK('General Assumptions'!G25),'General Assumptions'!E25,'General Assumptions'!G25)</f>
        <v>102.85</v>
      </c>
      <c r="K42" s="452">
        <f t="shared" si="4"/>
        <v>189.58763999999999</v>
      </c>
      <c r="L42" s="26" t="s">
        <v>233</v>
      </c>
      <c r="M42" s="26"/>
      <c r="N42" s="25"/>
      <c r="O42" s="25"/>
      <c r="P42" s="26"/>
      <c r="Q42" s="26"/>
      <c r="R42" s="138"/>
      <c r="S42" s="26"/>
      <c r="T42" s="26"/>
      <c r="U42" s="26"/>
      <c r="V42" s="26"/>
    </row>
    <row r="43" spans="2:22" x14ac:dyDescent="0.2">
      <c r="B43" s="562"/>
      <c r="C43" s="71" t="s">
        <v>234</v>
      </c>
      <c r="D43" s="51" t="s">
        <v>191</v>
      </c>
      <c r="E43" s="450">
        <v>0.6</v>
      </c>
      <c r="F43" s="450">
        <v>0.5</v>
      </c>
      <c r="G43" s="212">
        <f>E43*IF(ISBLANK('General Assumptions'!$G$19),'General Assumptions'!$E$19,'General Assumptions'!$G$19)</f>
        <v>13.799999999999999</v>
      </c>
      <c r="H43" s="212">
        <f>F43*('Machinery &amp; Equipment'!$S$7+'Machinery &amp; Equipment'!$S$11)</f>
        <v>11.017743333333334</v>
      </c>
      <c r="I43" s="212">
        <f t="shared" si="5"/>
        <v>24.817743333333333</v>
      </c>
      <c r="J43" s="212">
        <f>'General Assumptions'!L23</f>
        <v>9.7349999999999994</v>
      </c>
      <c r="K43" s="452">
        <f t="shared" si="4"/>
        <v>34.552743333333332</v>
      </c>
      <c r="L43" s="26" t="s">
        <v>212</v>
      </c>
      <c r="M43" s="26"/>
      <c r="N43" s="25"/>
      <c r="O43" s="25"/>
      <c r="P43" s="26"/>
      <c r="Q43" s="26"/>
      <c r="R43" s="138"/>
      <c r="S43" s="26"/>
      <c r="T43" s="26"/>
      <c r="U43" s="26"/>
      <c r="V43" s="26"/>
    </row>
    <row r="44" spans="2:22" x14ac:dyDescent="0.2">
      <c r="B44" s="562"/>
      <c r="C44" s="71" t="s">
        <v>235</v>
      </c>
      <c r="D44" s="51" t="s">
        <v>191</v>
      </c>
      <c r="E44" s="450">
        <v>1.25</v>
      </c>
      <c r="F44" s="450">
        <v>1.25</v>
      </c>
      <c r="G44" s="212">
        <f>E44*IF(ISBLANK('General Assumptions'!$G$19),'General Assumptions'!$E$19,'General Assumptions'!$G$19)</f>
        <v>28.75</v>
      </c>
      <c r="H44" s="212">
        <f>F44*('Machinery &amp; Equipment'!$S$7+'Machinery &amp; Equipment'!$S$9)</f>
        <v>26.717274999999997</v>
      </c>
      <c r="I44" s="212">
        <f t="shared" si="5"/>
        <v>55.467275000000001</v>
      </c>
      <c r="J44" s="212">
        <f>'Ex. Herbidcide Program'!J11</f>
        <v>71.97</v>
      </c>
      <c r="K44" s="452">
        <f t="shared" si="4"/>
        <v>127.437275</v>
      </c>
      <c r="L44" s="26" t="s">
        <v>216</v>
      </c>
      <c r="M44" s="26"/>
      <c r="N44" s="25"/>
      <c r="O44" s="25"/>
      <c r="P44" s="26"/>
      <c r="Q44" s="26"/>
      <c r="R44" s="138"/>
      <c r="S44" s="26"/>
      <c r="T44" s="26"/>
      <c r="U44" s="26"/>
      <c r="V44" s="26"/>
    </row>
    <row r="45" spans="2:22" x14ac:dyDescent="0.2">
      <c r="B45" s="562"/>
      <c r="C45" s="71" t="s">
        <v>236</v>
      </c>
      <c r="D45" s="51" t="s">
        <v>188</v>
      </c>
      <c r="E45" s="450">
        <v>2.5</v>
      </c>
      <c r="F45" s="450"/>
      <c r="G45" s="212">
        <f>E45*IF(ISBLANK('General Assumptions'!$G$20),'General Assumptions'!$E$20,'General Assumptions'!$G$20)</f>
        <v>43.75</v>
      </c>
      <c r="H45" s="212"/>
      <c r="I45" s="212">
        <f t="shared" si="5"/>
        <v>43.75</v>
      </c>
      <c r="J45" s="212"/>
      <c r="K45" s="452">
        <f t="shared" ref="K45:K50" si="6">G45+H45+J45</f>
        <v>43.75</v>
      </c>
      <c r="L45" s="26" t="s">
        <v>231</v>
      </c>
      <c r="M45" s="26"/>
      <c r="N45" s="25"/>
      <c r="O45" s="25"/>
      <c r="P45" s="26"/>
      <c r="Q45" s="26"/>
      <c r="R45" s="138"/>
      <c r="S45" s="26"/>
      <c r="T45" s="26"/>
      <c r="U45" s="26"/>
      <c r="V45" s="26"/>
    </row>
    <row r="46" spans="2:22" x14ac:dyDescent="0.2">
      <c r="B46" s="562"/>
      <c r="C46" s="71" t="s">
        <v>237</v>
      </c>
      <c r="D46" s="51" t="s">
        <v>188</v>
      </c>
      <c r="E46" s="450">
        <v>2.5</v>
      </c>
      <c r="F46" s="450"/>
      <c r="G46" s="212">
        <f>E46*IF(ISBLANK('General Assumptions'!$G$20),'General Assumptions'!$E$20,'General Assumptions'!$G$20)</f>
        <v>43.75</v>
      </c>
      <c r="H46" s="212"/>
      <c r="I46" s="212">
        <f t="shared" si="5"/>
        <v>43.75</v>
      </c>
      <c r="J46" s="212"/>
      <c r="K46" s="452">
        <f t="shared" si="6"/>
        <v>43.75</v>
      </c>
      <c r="L46" s="26" t="s">
        <v>231</v>
      </c>
      <c r="M46" s="26"/>
      <c r="N46" s="25"/>
      <c r="O46" s="25"/>
      <c r="P46" s="26"/>
      <c r="Q46" s="26"/>
      <c r="R46" s="138"/>
      <c r="S46" s="26"/>
      <c r="T46" s="26"/>
      <c r="U46" s="26"/>
      <c r="V46" s="26"/>
    </row>
    <row r="47" spans="2:22" x14ac:dyDescent="0.2">
      <c r="B47" s="562"/>
      <c r="C47" s="71" t="s">
        <v>238</v>
      </c>
      <c r="D47" s="51" t="s">
        <v>191</v>
      </c>
      <c r="E47" s="450">
        <v>3</v>
      </c>
      <c r="F47" s="450">
        <v>2.5</v>
      </c>
      <c r="G47" s="212">
        <f>E47*IF(ISBLANK('General Assumptions'!$G$19),'General Assumptions'!$E$19,'General Assumptions'!$G$19)</f>
        <v>69</v>
      </c>
      <c r="H47" s="212">
        <f>F47*('Machinery &amp; Equipment'!$S$7+'Machinery &amp; Equipment'!$S$13)</f>
        <v>64.422049999999999</v>
      </c>
      <c r="I47" s="212">
        <f t="shared" si="5"/>
        <v>133.42205000000001</v>
      </c>
      <c r="J47" s="212"/>
      <c r="K47" s="452">
        <f t="shared" si="6"/>
        <v>133.42205000000001</v>
      </c>
      <c r="L47" s="26" t="s">
        <v>214</v>
      </c>
      <c r="M47" s="26"/>
      <c r="N47" s="146"/>
      <c r="O47" s="25"/>
      <c r="P47" s="26"/>
      <c r="Q47" s="26"/>
      <c r="R47" s="138"/>
      <c r="S47" s="26"/>
      <c r="T47" s="26"/>
      <c r="U47" s="26"/>
      <c r="V47" s="26"/>
    </row>
    <row r="48" spans="2:22" x14ac:dyDescent="0.2">
      <c r="B48" s="562"/>
      <c r="C48" s="71" t="s">
        <v>239</v>
      </c>
      <c r="D48" s="51" t="s">
        <v>188</v>
      </c>
      <c r="E48" s="450">
        <v>4</v>
      </c>
      <c r="F48" s="450"/>
      <c r="G48" s="212">
        <f>E48*IF(ISBLANK('General Assumptions'!$G$20),'General Assumptions'!$E$20,'General Assumptions'!$G$20)</f>
        <v>70</v>
      </c>
      <c r="H48" s="212"/>
      <c r="I48" s="212">
        <f t="shared" si="5"/>
        <v>70</v>
      </c>
      <c r="J48" s="212"/>
      <c r="K48" s="452">
        <f t="shared" si="6"/>
        <v>70</v>
      </c>
      <c r="L48" s="26" t="s">
        <v>214</v>
      </c>
      <c r="M48" s="26"/>
      <c r="N48" s="25"/>
      <c r="O48" s="25"/>
      <c r="P48" s="26"/>
      <c r="Q48" s="26"/>
      <c r="R48" s="138"/>
      <c r="S48" s="26"/>
      <c r="T48" s="26"/>
      <c r="U48" s="26"/>
      <c r="V48" s="26"/>
    </row>
    <row r="49" spans="2:22" x14ac:dyDescent="0.2">
      <c r="B49" s="562"/>
      <c r="C49" s="71" t="s">
        <v>240</v>
      </c>
      <c r="D49" s="51" t="s">
        <v>191</v>
      </c>
      <c r="E49" s="450">
        <v>0.4</v>
      </c>
      <c r="F49" s="450">
        <v>0.3</v>
      </c>
      <c r="G49" s="212">
        <f>E49*IF(ISBLANK('General Assumptions'!$G$19),'General Assumptions'!$E$19,'General Assumptions'!$G$19)</f>
        <v>9.2000000000000011</v>
      </c>
      <c r="H49" s="212">
        <f>F49*('Machinery &amp; Equipment'!$S$7+'Machinery &amp; Equipment'!$S$9)</f>
        <v>6.412145999999999</v>
      </c>
      <c r="I49" s="212">
        <f t="shared" si="5"/>
        <v>15.612145999999999</v>
      </c>
      <c r="J49" s="212">
        <f>'Ex. Herbidcide Program'!J12</f>
        <v>14.45966</v>
      </c>
      <c r="K49" s="452">
        <f t="shared" si="6"/>
        <v>30.071805999999999</v>
      </c>
      <c r="L49" s="26" t="s">
        <v>216</v>
      </c>
      <c r="M49" s="26"/>
      <c r="N49" s="25"/>
      <c r="O49" s="25"/>
      <c r="P49" s="26"/>
      <c r="Q49" s="26"/>
      <c r="R49" s="138"/>
      <c r="S49" s="26"/>
      <c r="T49" s="26"/>
      <c r="U49" s="26"/>
      <c r="V49" s="26"/>
    </row>
    <row r="50" spans="2:22" x14ac:dyDescent="0.2">
      <c r="B50" s="562"/>
      <c r="C50" s="71" t="s">
        <v>240</v>
      </c>
      <c r="D50" s="51" t="s">
        <v>191</v>
      </c>
      <c r="E50" s="450">
        <v>0.4</v>
      </c>
      <c r="F50" s="450">
        <v>0.3</v>
      </c>
      <c r="G50" s="212">
        <f>E50*IF(ISBLANK('General Assumptions'!$G$19),'General Assumptions'!$E$19,'General Assumptions'!$G$19)</f>
        <v>9.2000000000000011</v>
      </c>
      <c r="H50" s="212">
        <f>F50*('Machinery &amp; Equipment'!$S$7+'Machinery &amp; Equipment'!$S$9)</f>
        <v>6.412145999999999</v>
      </c>
      <c r="I50" s="212">
        <f t="shared" si="5"/>
        <v>15.612145999999999</v>
      </c>
      <c r="J50" s="212">
        <f>'Ex. Herbidcide Program'!J14</f>
        <v>14.45966</v>
      </c>
      <c r="K50" s="452">
        <f t="shared" si="6"/>
        <v>30.071805999999999</v>
      </c>
      <c r="L50" s="26" t="s">
        <v>216</v>
      </c>
      <c r="M50" s="26"/>
      <c r="N50" s="25"/>
      <c r="O50" s="25"/>
      <c r="P50" s="26"/>
      <c r="Q50" s="26"/>
      <c r="R50" s="138"/>
      <c r="S50" s="26"/>
      <c r="T50" s="26"/>
      <c r="U50" s="26"/>
      <c r="V50" s="26"/>
    </row>
    <row r="51" spans="2:22" x14ac:dyDescent="0.2">
      <c r="B51" s="562"/>
      <c r="C51" s="71" t="s">
        <v>241</v>
      </c>
      <c r="D51" s="51" t="s">
        <v>191</v>
      </c>
      <c r="E51" s="450">
        <v>3</v>
      </c>
      <c r="F51" s="450">
        <v>1.5</v>
      </c>
      <c r="G51" s="212">
        <f>E51*IF(ISBLANK('General Assumptions'!$G$19),'General Assumptions'!$E$19,'General Assumptions'!$G$19)</f>
        <v>69</v>
      </c>
      <c r="H51" s="212">
        <f>F51*('Machinery &amp; Equipment'!$S$7+'Machinery &amp; Equipment'!$S$13)</f>
        <v>38.653229999999994</v>
      </c>
      <c r="I51" s="212">
        <f t="shared" si="5"/>
        <v>107.65322999999999</v>
      </c>
      <c r="J51" s="212"/>
      <c r="K51" s="452">
        <f t="shared" si="4"/>
        <v>107.65322999999999</v>
      </c>
      <c r="L51" s="26" t="s">
        <v>214</v>
      </c>
      <c r="M51" s="26"/>
      <c r="N51" s="25"/>
      <c r="O51" s="25"/>
      <c r="P51" s="26"/>
      <c r="Q51" s="26"/>
      <c r="R51" s="138"/>
      <c r="S51" s="26"/>
      <c r="T51" s="26"/>
      <c r="U51" s="26"/>
      <c r="V51" s="26"/>
    </row>
    <row r="52" spans="2:22" x14ac:dyDescent="0.2">
      <c r="B52" s="562"/>
      <c r="C52" s="71" t="s">
        <v>221</v>
      </c>
      <c r="D52" s="51" t="s">
        <v>191</v>
      </c>
      <c r="E52" s="450">
        <v>0.4</v>
      </c>
      <c r="F52" s="450">
        <v>0.3</v>
      </c>
      <c r="G52" s="212">
        <f>E52*IF(ISBLANK('General Assumptions'!$G$19),'General Assumptions'!$E$19,'General Assumptions'!$G$19)</f>
        <v>9.2000000000000011</v>
      </c>
      <c r="H52" s="212">
        <f>F52*('Machinery &amp; Equipment'!$S$7+'Machinery &amp; Equipment'!$S$8)</f>
        <v>9.2606459999999995</v>
      </c>
      <c r="I52" s="212">
        <f t="shared" si="5"/>
        <v>18.460646000000001</v>
      </c>
      <c r="J52" s="212">
        <f>'Ex. Spray Program'!R16</f>
        <v>30.246041666666667</v>
      </c>
      <c r="K52" s="452">
        <f t="shared" si="4"/>
        <v>48.706687666666667</v>
      </c>
      <c r="L52" s="26" t="s">
        <v>203</v>
      </c>
      <c r="M52" s="26"/>
      <c r="N52" s="25"/>
      <c r="O52" s="25"/>
      <c r="P52" s="26"/>
      <c r="Q52" s="26"/>
      <c r="R52" s="138"/>
      <c r="S52" s="26"/>
      <c r="T52" s="26"/>
      <c r="U52" s="26"/>
      <c r="V52" s="26"/>
    </row>
    <row r="53" spans="2:22" x14ac:dyDescent="0.2">
      <c r="B53" s="562"/>
      <c r="C53" s="71" t="s">
        <v>222</v>
      </c>
      <c r="D53" s="51" t="s">
        <v>191</v>
      </c>
      <c r="E53" s="450">
        <v>0.4</v>
      </c>
      <c r="F53" s="450">
        <v>0.3</v>
      </c>
      <c r="G53" s="212">
        <f>E53*IF(ISBLANK('General Assumptions'!$G$19),'General Assumptions'!$E$19,'General Assumptions'!$G$19)</f>
        <v>9.2000000000000011</v>
      </c>
      <c r="H53" s="212">
        <f>F53*('Machinery &amp; Equipment'!$S$7+'Machinery &amp; Equipment'!$S$8)</f>
        <v>9.2606459999999995</v>
      </c>
      <c r="I53" s="212">
        <f t="shared" si="5"/>
        <v>18.460646000000001</v>
      </c>
      <c r="J53" s="212">
        <f>'Ex. Spray Program'!R19</f>
        <v>30.246041666666667</v>
      </c>
      <c r="K53" s="452">
        <f t="shared" si="4"/>
        <v>48.706687666666667</v>
      </c>
      <c r="L53" s="26" t="s">
        <v>203</v>
      </c>
      <c r="M53" s="26"/>
      <c r="N53" s="25"/>
      <c r="O53" s="25"/>
      <c r="P53" s="26"/>
      <c r="Q53" s="26"/>
      <c r="R53" s="138"/>
      <c r="S53" s="26"/>
      <c r="T53" s="26"/>
      <c r="U53" s="26"/>
      <c r="V53" s="26"/>
    </row>
    <row r="54" spans="2:22" x14ac:dyDescent="0.2">
      <c r="B54" s="562"/>
      <c r="C54" s="71" t="s">
        <v>223</v>
      </c>
      <c r="D54" s="51" t="s">
        <v>191</v>
      </c>
      <c r="E54" s="450">
        <v>0.4</v>
      </c>
      <c r="F54" s="450">
        <v>0.3</v>
      </c>
      <c r="G54" s="212">
        <f>E54*IF(ISBLANK('General Assumptions'!$G$19),'General Assumptions'!$E$19,'General Assumptions'!$G$19)</f>
        <v>9.2000000000000011</v>
      </c>
      <c r="H54" s="212">
        <f>F54*('Machinery &amp; Equipment'!$S$7+'Machinery &amp; Equipment'!$S$8)</f>
        <v>9.2606459999999995</v>
      </c>
      <c r="I54" s="212">
        <f t="shared" si="5"/>
        <v>18.460646000000001</v>
      </c>
      <c r="J54" s="212">
        <f>'Ex. Spray Program'!R22</f>
        <v>30.246041666666667</v>
      </c>
      <c r="K54" s="452">
        <f t="shared" si="4"/>
        <v>48.706687666666667</v>
      </c>
      <c r="L54" s="26" t="s">
        <v>203</v>
      </c>
      <c r="M54" s="26"/>
      <c r="N54" s="25"/>
      <c r="O54" s="25"/>
      <c r="P54" s="26"/>
      <c r="Q54" s="26"/>
      <c r="R54" s="138"/>
      <c r="S54" s="26"/>
      <c r="T54" s="26"/>
      <c r="U54" s="26"/>
      <c r="V54" s="26"/>
    </row>
    <row r="55" spans="2:22" x14ac:dyDescent="0.2">
      <c r="B55" s="562"/>
      <c r="C55" s="71" t="s">
        <v>242</v>
      </c>
      <c r="D55" s="51" t="s">
        <v>191</v>
      </c>
      <c r="E55" s="450">
        <v>0.4</v>
      </c>
      <c r="F55" s="450">
        <v>0.3</v>
      </c>
      <c r="G55" s="212">
        <f>E55*IF(ISBLANK('General Assumptions'!$G$19),'General Assumptions'!$E$19,'General Assumptions'!$G$19)</f>
        <v>9.2000000000000011</v>
      </c>
      <c r="H55" s="212">
        <f>F55*('Machinery &amp; Equipment'!$S$7+'Machinery &amp; Equipment'!$S$8)</f>
        <v>9.2606459999999995</v>
      </c>
      <c r="I55" s="212">
        <f t="shared" si="5"/>
        <v>18.460646000000001</v>
      </c>
      <c r="J55" s="212">
        <f>'Ex. Spray Program'!R25</f>
        <v>30.246041666666667</v>
      </c>
      <c r="K55" s="452">
        <f t="shared" si="4"/>
        <v>48.706687666666667</v>
      </c>
      <c r="L55" s="26" t="s">
        <v>203</v>
      </c>
      <c r="M55" s="26"/>
      <c r="N55" s="25"/>
      <c r="O55" s="25"/>
      <c r="P55" s="26"/>
      <c r="Q55" s="26"/>
      <c r="R55" s="138"/>
      <c r="S55" s="26"/>
      <c r="T55" s="26"/>
      <c r="U55" s="26"/>
      <c r="V55" s="26"/>
    </row>
    <row r="56" spans="2:22" x14ac:dyDescent="0.2">
      <c r="B56" s="562"/>
      <c r="C56" s="71" t="s">
        <v>243</v>
      </c>
      <c r="D56" s="51" t="s">
        <v>191</v>
      </c>
      <c r="E56" s="450">
        <v>2.6</v>
      </c>
      <c r="F56" s="450">
        <v>2</v>
      </c>
      <c r="G56" s="212">
        <f>E56*IF(ISBLANK('General Assumptions'!$G$19),'General Assumptions'!$E$19,'General Assumptions'!$G$19)</f>
        <v>59.800000000000004</v>
      </c>
      <c r="H56" s="212">
        <f>F56*('Machinery &amp; Equipment'!$S$7+'Machinery &amp; Equipment'!$S$10)</f>
        <v>43.297640000000001</v>
      </c>
      <c r="I56" s="212">
        <f t="shared" si="5"/>
        <v>103.09764000000001</v>
      </c>
      <c r="J56" s="212"/>
      <c r="K56" s="452">
        <f t="shared" si="4"/>
        <v>103.09764000000001</v>
      </c>
      <c r="L56" s="26" t="s">
        <v>244</v>
      </c>
      <c r="M56" s="26"/>
      <c r="N56" s="25"/>
      <c r="O56" s="25"/>
      <c r="P56" s="26"/>
      <c r="Q56" s="26"/>
      <c r="R56" s="138"/>
      <c r="S56" s="26"/>
      <c r="T56" s="26"/>
      <c r="U56" s="26"/>
      <c r="V56" s="26"/>
    </row>
    <row r="57" spans="2:22" x14ac:dyDescent="0.2">
      <c r="B57" s="562"/>
      <c r="C57" s="71" t="s">
        <v>245</v>
      </c>
      <c r="D57" s="51" t="s">
        <v>188</v>
      </c>
      <c r="E57" s="450">
        <v>1</v>
      </c>
      <c r="F57" s="450"/>
      <c r="G57" s="212">
        <f>E57*IF(ISBLANK('General Assumptions'!$G$20),'General Assumptions'!$E$20,'General Assumptions'!$G$20)</f>
        <v>17.5</v>
      </c>
      <c r="H57" s="212"/>
      <c r="I57" s="212">
        <f t="shared" si="5"/>
        <v>17.5</v>
      </c>
      <c r="J57" s="212"/>
      <c r="K57" s="452">
        <f t="shared" si="4"/>
        <v>17.5</v>
      </c>
      <c r="L57" s="26" t="s">
        <v>245</v>
      </c>
      <c r="M57" s="26"/>
      <c r="N57" s="25"/>
      <c r="O57" s="25"/>
      <c r="P57" s="26"/>
      <c r="Q57" s="26"/>
      <c r="R57" s="138"/>
      <c r="S57" s="26"/>
      <c r="T57" s="26"/>
      <c r="U57" s="26"/>
      <c r="V57" s="26"/>
    </row>
    <row r="58" spans="2:22" x14ac:dyDescent="0.2">
      <c r="B58" s="562"/>
      <c r="C58" s="71" t="s">
        <v>200</v>
      </c>
      <c r="D58" s="51" t="s">
        <v>201</v>
      </c>
      <c r="E58" s="450" t="s">
        <v>201</v>
      </c>
      <c r="F58" s="450" t="s">
        <v>201</v>
      </c>
      <c r="G58" s="212"/>
      <c r="H58" s="212">
        <v>70.86</v>
      </c>
      <c r="I58" s="212">
        <f t="shared" si="5"/>
        <v>70.86</v>
      </c>
      <c r="J58" s="212"/>
      <c r="K58" s="452">
        <f>G58+H58+J58</f>
        <v>70.86</v>
      </c>
      <c r="L58" s="26" t="s">
        <v>202</v>
      </c>
      <c r="M58" s="26"/>
      <c r="N58" s="25"/>
      <c r="O58" s="25"/>
      <c r="P58" s="26"/>
      <c r="Q58" s="26"/>
      <c r="R58" s="138"/>
      <c r="S58" s="26"/>
      <c r="T58" s="26"/>
      <c r="U58" s="26"/>
      <c r="V58" s="26"/>
    </row>
    <row r="59" spans="2:22" x14ac:dyDescent="0.2">
      <c r="B59" s="562"/>
      <c r="C59" s="215"/>
      <c r="D59" s="215"/>
      <c r="E59" s="479"/>
      <c r="F59" s="479"/>
      <c r="G59" s="481"/>
      <c r="H59" s="481"/>
      <c r="I59" s="212">
        <f t="shared" si="5"/>
        <v>0</v>
      </c>
      <c r="J59" s="481"/>
      <c r="K59" s="482"/>
      <c r="L59" s="26"/>
      <c r="M59" s="26"/>
      <c r="N59" s="25"/>
      <c r="O59" s="25"/>
      <c r="P59" s="26"/>
      <c r="Q59" s="26"/>
      <c r="R59" s="138"/>
      <c r="S59" s="26"/>
      <c r="T59" s="26"/>
      <c r="U59" s="26"/>
      <c r="V59" s="26"/>
    </row>
    <row r="60" spans="2:22" ht="17" thickBot="1" x14ac:dyDescent="0.25">
      <c r="B60" s="563"/>
      <c r="C60" s="144" t="s">
        <v>205</v>
      </c>
      <c r="D60" s="69"/>
      <c r="E60" s="483">
        <f>SUM(E40:E58)</f>
        <v>29.849999999999994</v>
      </c>
      <c r="F60" s="483">
        <f>SUM(F40:F57)</f>
        <v>11.550000000000002</v>
      </c>
      <c r="G60" s="461">
        <f>SUM(G40:G58)</f>
        <v>620.55000000000007</v>
      </c>
      <c r="H60" s="461">
        <f>SUM(H40:H57)</f>
        <v>274.71245433333337</v>
      </c>
      <c r="I60" s="212">
        <f t="shared" si="5"/>
        <v>895.26245433333338</v>
      </c>
      <c r="J60" s="461">
        <f>SUM(J41:J57)</f>
        <v>340.05848666666657</v>
      </c>
      <c r="K60" s="485">
        <f>SUM(K40:K58)</f>
        <v>1306.1809410000001</v>
      </c>
      <c r="L60" s="26"/>
      <c r="M60" s="26"/>
      <c r="N60" s="25"/>
      <c r="O60" s="25"/>
      <c r="P60" s="26"/>
      <c r="Q60" s="26"/>
      <c r="R60" s="138"/>
      <c r="S60" s="26"/>
      <c r="T60" s="26"/>
      <c r="U60" s="26"/>
      <c r="V60" s="26"/>
    </row>
    <row r="61" spans="2:22" ht="34" x14ac:dyDescent="0.2">
      <c r="B61" s="94"/>
      <c r="C61" s="134" t="s">
        <v>169</v>
      </c>
      <c r="D61" s="135" t="s">
        <v>170</v>
      </c>
      <c r="E61" s="135" t="s">
        <v>171</v>
      </c>
      <c r="F61" s="135" t="s">
        <v>172</v>
      </c>
      <c r="G61" s="135" t="s">
        <v>173</v>
      </c>
      <c r="H61" s="135" t="s">
        <v>174</v>
      </c>
      <c r="I61" s="135"/>
      <c r="J61" s="135" t="s">
        <v>175</v>
      </c>
      <c r="K61" s="136" t="s">
        <v>226</v>
      </c>
      <c r="L61" s="26"/>
      <c r="M61" s="26"/>
      <c r="N61" s="25"/>
      <c r="O61" s="25"/>
      <c r="P61" s="26"/>
      <c r="Q61" s="26"/>
      <c r="R61" s="138"/>
      <c r="S61" s="26"/>
      <c r="T61" s="26"/>
      <c r="U61" s="26"/>
      <c r="V61" s="26"/>
    </row>
    <row r="62" spans="2:22" x14ac:dyDescent="0.2">
      <c r="B62" s="562" t="s">
        <v>282</v>
      </c>
      <c r="C62" s="139" t="s">
        <v>246</v>
      </c>
      <c r="D62" s="51"/>
      <c r="E62" s="450"/>
      <c r="F62" s="450"/>
      <c r="G62" s="212"/>
      <c r="H62" s="212"/>
      <c r="I62" s="212"/>
      <c r="J62" s="212"/>
      <c r="K62" s="451"/>
      <c r="L62" s="26"/>
      <c r="M62" s="26"/>
      <c r="N62" s="25"/>
      <c r="O62" s="25"/>
      <c r="P62" s="26"/>
      <c r="Q62" s="26"/>
      <c r="R62" s="138"/>
      <c r="S62" s="26"/>
      <c r="T62" s="26"/>
      <c r="U62" s="26"/>
      <c r="V62" s="26"/>
    </row>
    <row r="63" spans="2:22" x14ac:dyDescent="0.2">
      <c r="B63" s="562"/>
      <c r="C63" s="71" t="s">
        <v>257</v>
      </c>
      <c r="D63" s="51" t="s">
        <v>191</v>
      </c>
      <c r="E63" s="450">
        <v>18</v>
      </c>
      <c r="F63" s="450"/>
      <c r="G63" s="212">
        <f>E63*IF(ISBLANK('General Assumptions'!$G$19),'General Assumptions'!$E$19,'General Assumptions'!$G$19)</f>
        <v>414</v>
      </c>
      <c r="H63" s="212"/>
      <c r="I63" s="212">
        <f>G63+H63</f>
        <v>414</v>
      </c>
      <c r="J63" s="212"/>
      <c r="K63" s="452">
        <f t="shared" ref="K63:K84" si="7">G63+H63+J63</f>
        <v>414</v>
      </c>
      <c r="L63" s="26" t="s">
        <v>247</v>
      </c>
      <c r="M63" s="26"/>
      <c r="N63" s="25"/>
      <c r="O63" s="25"/>
      <c r="P63" s="26"/>
      <c r="Q63" s="26"/>
      <c r="R63" s="138"/>
      <c r="S63" s="26"/>
      <c r="T63" s="26"/>
      <c r="U63" s="26"/>
      <c r="V63" s="26"/>
    </row>
    <row r="64" spans="2:22" x14ac:dyDescent="0.2">
      <c r="B64" s="562"/>
      <c r="C64" s="71" t="s">
        <v>230</v>
      </c>
      <c r="D64" s="51" t="s">
        <v>188</v>
      </c>
      <c r="E64" s="450">
        <v>14</v>
      </c>
      <c r="F64" s="450"/>
      <c r="G64" s="212">
        <f>E64*IF(ISBLANK('General Assumptions'!$G$20),'General Assumptions'!$E$20,'General Assumptions'!$G$20)</f>
        <v>245</v>
      </c>
      <c r="H64" s="212"/>
      <c r="I64" s="212">
        <f t="shared" ref="I64:I86" si="8">G64+H64</f>
        <v>245</v>
      </c>
      <c r="J64" s="212">
        <v>5.6</v>
      </c>
      <c r="K64" s="452">
        <f t="shared" si="7"/>
        <v>250.6</v>
      </c>
      <c r="L64" s="26" t="s">
        <v>231</v>
      </c>
      <c r="M64" s="26"/>
      <c r="N64" s="25"/>
      <c r="O64" s="25"/>
      <c r="P64" s="26"/>
      <c r="Q64" s="26"/>
      <c r="R64" s="138"/>
      <c r="S64" s="26"/>
      <c r="T64" s="26"/>
      <c r="U64" s="26"/>
      <c r="V64" s="26"/>
    </row>
    <row r="65" spans="2:22" x14ac:dyDescent="0.2">
      <c r="B65" s="562"/>
      <c r="C65" s="71" t="s">
        <v>248</v>
      </c>
      <c r="D65" s="51" t="s">
        <v>191</v>
      </c>
      <c r="E65" s="450">
        <v>1.2</v>
      </c>
      <c r="F65" s="450">
        <v>1</v>
      </c>
      <c r="G65" s="212">
        <f>E65*IF(ISBLANK('General Assumptions'!$G$19),'General Assumptions'!$E$19,'General Assumptions'!$G$19)</f>
        <v>27.599999999999998</v>
      </c>
      <c r="H65" s="212">
        <f>F65*('Machinery &amp; Equipment'!S7)</f>
        <v>20.368819999999999</v>
      </c>
      <c r="I65" s="212">
        <f t="shared" si="8"/>
        <v>47.968819999999994</v>
      </c>
      <c r="J65" s="212"/>
      <c r="K65" s="452">
        <f t="shared" si="7"/>
        <v>47.968819999999994</v>
      </c>
      <c r="L65" s="26" t="s">
        <v>206</v>
      </c>
      <c r="M65" s="26"/>
      <c r="N65" s="25"/>
      <c r="O65" s="25"/>
      <c r="P65" s="26"/>
      <c r="Q65" s="26"/>
      <c r="R65" s="138"/>
      <c r="S65" s="26"/>
      <c r="T65" s="26"/>
      <c r="U65" s="26"/>
      <c r="V65" s="26"/>
    </row>
    <row r="66" spans="2:22" x14ac:dyDescent="0.2">
      <c r="B66" s="562"/>
      <c r="C66" s="71" t="s">
        <v>249</v>
      </c>
      <c r="D66" s="51" t="s">
        <v>191</v>
      </c>
      <c r="E66" s="450">
        <v>2</v>
      </c>
      <c r="F66" s="450">
        <v>2</v>
      </c>
      <c r="G66" s="212">
        <f>E66*IF(ISBLANK('General Assumptions'!$G$19),'General Assumptions'!$E$19,'General Assumptions'!$G$19)</f>
        <v>46</v>
      </c>
      <c r="H66" s="212">
        <f>F66*'Machinery &amp; Equipment'!$S$7</f>
        <v>40.737639999999999</v>
      </c>
      <c r="I66" s="212">
        <f t="shared" si="8"/>
        <v>86.737639999999999</v>
      </c>
      <c r="J66" s="212">
        <f>IF('General Assumptions'!G10="",'General Assumptions'!E10,'General Assumptions'!G10)*IF(ISBLANK('General Assumptions'!G26),'General Assumptions'!E26,'General Assumptions'!G26)*IF(ISBLANK('General Assumptions'!G25),'General Assumptions'!E25,'General Assumptions'!G25)</f>
        <v>102.85</v>
      </c>
      <c r="K66" s="452">
        <f t="shared" si="7"/>
        <v>189.58763999999999</v>
      </c>
      <c r="L66" s="26" t="s">
        <v>233</v>
      </c>
      <c r="M66" s="26"/>
      <c r="N66" s="25"/>
      <c r="O66" s="25"/>
      <c r="P66" s="26"/>
      <c r="Q66" s="26"/>
      <c r="R66" s="138"/>
      <c r="S66" s="26"/>
      <c r="T66" s="26"/>
      <c r="U66" s="26"/>
      <c r="V66" s="26"/>
    </row>
    <row r="67" spans="2:22" x14ac:dyDescent="0.2">
      <c r="B67" s="562"/>
      <c r="C67" s="71" t="s">
        <v>250</v>
      </c>
      <c r="D67" s="51" t="s">
        <v>191</v>
      </c>
      <c r="E67" s="450">
        <v>2.6</v>
      </c>
      <c r="F67" s="450">
        <v>2</v>
      </c>
      <c r="G67" s="212">
        <f>E67*IF(ISBLANK('General Assumptions'!$G$19),'General Assumptions'!$E$19,'General Assumptions'!$G$19)</f>
        <v>59.800000000000004</v>
      </c>
      <c r="H67" s="212">
        <f>F67*('Machinery &amp; Equipment'!$S$7+'Machinery &amp; Equipment'!$S$9)</f>
        <v>42.747639999999997</v>
      </c>
      <c r="I67" s="212">
        <f t="shared" si="8"/>
        <v>102.54764</v>
      </c>
      <c r="J67" s="212">
        <f>'Ex. Herbidcide Program'!J16</f>
        <v>71.97</v>
      </c>
      <c r="K67" s="452">
        <f t="shared" si="7"/>
        <v>174.51764</v>
      </c>
      <c r="L67" s="26" t="s">
        <v>216</v>
      </c>
      <c r="M67" s="26"/>
      <c r="N67" s="25"/>
      <c r="O67" s="25"/>
      <c r="P67" s="26"/>
      <c r="Q67" s="26"/>
      <c r="R67" s="138"/>
      <c r="S67" s="26"/>
      <c r="T67" s="26"/>
      <c r="U67" s="26"/>
      <c r="V67" s="26"/>
    </row>
    <row r="68" spans="2:22" x14ac:dyDescent="0.2">
      <c r="B68" s="562"/>
      <c r="C68" s="71" t="s">
        <v>251</v>
      </c>
      <c r="D68" s="51" t="s">
        <v>188</v>
      </c>
      <c r="E68" s="450">
        <v>4</v>
      </c>
      <c r="F68" s="450"/>
      <c r="G68" s="212">
        <f>E68*IF(ISBLANK('General Assumptions'!$G$20),'General Assumptions'!$E$20,'General Assumptions'!$G$20)</f>
        <v>70</v>
      </c>
      <c r="H68" s="212"/>
      <c r="I68" s="212">
        <f t="shared" si="8"/>
        <v>70</v>
      </c>
      <c r="J68" s="212"/>
      <c r="K68" s="452">
        <f>G68+H68+J68</f>
        <v>70</v>
      </c>
      <c r="L68" s="26" t="s">
        <v>231</v>
      </c>
      <c r="M68" s="26"/>
      <c r="N68" s="25"/>
      <c r="O68" s="25"/>
      <c r="P68" s="26"/>
      <c r="Q68" s="26"/>
      <c r="R68" s="138"/>
      <c r="S68" s="26"/>
      <c r="T68" s="26"/>
      <c r="U68" s="26"/>
      <c r="V68" s="26"/>
    </row>
    <row r="69" spans="2:22" x14ac:dyDescent="0.2">
      <c r="B69" s="562"/>
      <c r="C69" s="71" t="s">
        <v>237</v>
      </c>
      <c r="D69" s="51" t="s">
        <v>188</v>
      </c>
      <c r="E69" s="450">
        <v>4</v>
      </c>
      <c r="F69" s="450"/>
      <c r="G69" s="212">
        <f>E69*IF(ISBLANK('General Assumptions'!$G$20),'General Assumptions'!$E$20,'General Assumptions'!$G$20)</f>
        <v>70</v>
      </c>
      <c r="H69" s="212"/>
      <c r="I69" s="212">
        <f t="shared" si="8"/>
        <v>70</v>
      </c>
      <c r="J69" s="212"/>
      <c r="K69" s="452">
        <f>G69+H69+J69</f>
        <v>70</v>
      </c>
      <c r="L69" s="26" t="s">
        <v>231</v>
      </c>
      <c r="M69" s="26"/>
      <c r="N69" s="25"/>
      <c r="O69" s="25"/>
      <c r="P69" s="26"/>
      <c r="Q69" s="26"/>
      <c r="R69" s="138"/>
      <c r="S69" s="26"/>
      <c r="T69" s="26"/>
      <c r="U69" s="26"/>
      <c r="V69" s="26"/>
    </row>
    <row r="70" spans="2:22" x14ac:dyDescent="0.2">
      <c r="B70" s="562"/>
      <c r="C70" s="71" t="s">
        <v>238</v>
      </c>
      <c r="D70" s="51" t="s">
        <v>191</v>
      </c>
      <c r="E70" s="450">
        <v>3</v>
      </c>
      <c r="F70" s="450">
        <v>2.5</v>
      </c>
      <c r="G70" s="212">
        <f>E70*IF(ISBLANK('General Assumptions'!$G$19),'General Assumptions'!$E$19,'General Assumptions'!$G$19)</f>
        <v>69</v>
      </c>
      <c r="H70" s="212">
        <f>F70*('Machinery &amp; Equipment'!$S$7+'Machinery &amp; Equipment'!$S$13)</f>
        <v>64.422049999999999</v>
      </c>
      <c r="I70" s="212">
        <f t="shared" si="8"/>
        <v>133.42205000000001</v>
      </c>
      <c r="J70" s="212"/>
      <c r="K70" s="452">
        <f>G70+H70+J70</f>
        <v>133.42205000000001</v>
      </c>
      <c r="L70" s="26" t="s">
        <v>214</v>
      </c>
      <c r="M70" s="26"/>
      <c r="N70" s="25"/>
      <c r="O70" s="25"/>
      <c r="P70" s="26"/>
      <c r="Q70" s="26"/>
      <c r="R70" s="138"/>
      <c r="S70" s="26"/>
      <c r="T70" s="26"/>
      <c r="U70" s="26"/>
      <c r="V70" s="26"/>
    </row>
    <row r="71" spans="2:22" x14ac:dyDescent="0.2">
      <c r="B71" s="562"/>
      <c r="C71" s="71" t="s">
        <v>239</v>
      </c>
      <c r="D71" s="51" t="s">
        <v>188</v>
      </c>
      <c r="E71" s="450">
        <v>4</v>
      </c>
      <c r="F71" s="450"/>
      <c r="G71" s="212">
        <f>E71*IF(ISBLANK('General Assumptions'!$G$20),'General Assumptions'!$E$20,'General Assumptions'!$G$20)</f>
        <v>70</v>
      </c>
      <c r="H71" s="212"/>
      <c r="I71" s="212">
        <f t="shared" si="8"/>
        <v>70</v>
      </c>
      <c r="J71" s="212"/>
      <c r="K71" s="452">
        <f>G71+H71+J71</f>
        <v>70</v>
      </c>
      <c r="L71" s="26" t="s">
        <v>214</v>
      </c>
      <c r="M71" s="26"/>
      <c r="N71" s="25"/>
      <c r="O71" s="25"/>
      <c r="P71" s="26"/>
      <c r="Q71" s="26"/>
      <c r="R71" s="138"/>
      <c r="S71" s="26"/>
      <c r="T71" s="26"/>
      <c r="U71" s="26"/>
      <c r="V71" s="26"/>
    </row>
    <row r="72" spans="2:22" x14ac:dyDescent="0.2">
      <c r="B72" s="562"/>
      <c r="C72" s="71" t="s">
        <v>252</v>
      </c>
      <c r="D72" s="51"/>
      <c r="E72" s="450"/>
      <c r="F72" s="450"/>
      <c r="G72" s="212"/>
      <c r="H72" s="212"/>
      <c r="I72" s="212">
        <f t="shared" si="8"/>
        <v>0</v>
      </c>
      <c r="J72" s="212"/>
      <c r="K72" s="452">
        <f>IF('General Assumptions'!G16="Drop Down",'General Assumptions'!E17,'General Assumptions'!G17)</f>
        <v>70</v>
      </c>
      <c r="L72" s="26" t="s">
        <v>253</v>
      </c>
      <c r="M72" s="26"/>
      <c r="N72" s="25"/>
      <c r="O72" s="25"/>
      <c r="P72" s="26"/>
      <c r="Q72" s="26"/>
      <c r="R72" s="138"/>
      <c r="S72" s="26"/>
      <c r="T72" s="26"/>
      <c r="U72" s="26"/>
      <c r="V72" s="26"/>
    </row>
    <row r="73" spans="2:22" x14ac:dyDescent="0.2">
      <c r="B73" s="562"/>
      <c r="C73" s="71" t="s">
        <v>240</v>
      </c>
      <c r="D73" s="51" t="s">
        <v>191</v>
      </c>
      <c r="E73" s="450">
        <v>0.4</v>
      </c>
      <c r="F73" s="450">
        <v>0.3</v>
      </c>
      <c r="G73" s="212">
        <f>E73*IF(ISBLANK('General Assumptions'!$G$19),'General Assumptions'!$E$19,'General Assumptions'!$G$19)</f>
        <v>9.2000000000000011</v>
      </c>
      <c r="H73" s="212">
        <f>F73*('Machinery &amp; Equipment'!$S$7+'Machinery &amp; Equipment'!$S$9)</f>
        <v>6.412145999999999</v>
      </c>
      <c r="I73" s="212">
        <f t="shared" si="8"/>
        <v>15.612145999999999</v>
      </c>
      <c r="J73" s="212">
        <f>'Ex. Herbidcide Program'!J17</f>
        <v>14.45966</v>
      </c>
      <c r="K73" s="452">
        <f t="shared" ref="K73" si="9">G73+H73+J73</f>
        <v>30.071805999999999</v>
      </c>
      <c r="L73" s="26" t="s">
        <v>216</v>
      </c>
      <c r="M73" s="26"/>
      <c r="N73" s="25"/>
      <c r="O73" s="25"/>
      <c r="P73" s="26"/>
      <c r="Q73" s="26"/>
      <c r="R73" s="138"/>
      <c r="S73" s="26"/>
      <c r="T73" s="26"/>
      <c r="U73" s="26"/>
      <c r="V73" s="26"/>
    </row>
    <row r="74" spans="2:22" x14ac:dyDescent="0.2">
      <c r="B74" s="562"/>
      <c r="C74" s="71" t="s">
        <v>240</v>
      </c>
      <c r="D74" s="51" t="s">
        <v>191</v>
      </c>
      <c r="E74" s="450">
        <v>0.4</v>
      </c>
      <c r="F74" s="450">
        <v>0.3</v>
      </c>
      <c r="G74" s="212">
        <f>E74*IF(ISBLANK('General Assumptions'!$G$19),'General Assumptions'!$E$19,'General Assumptions'!$G$19)</f>
        <v>9.2000000000000011</v>
      </c>
      <c r="H74" s="212">
        <f>F74*('Machinery &amp; Equipment'!$S$7+'Machinery &amp; Equipment'!$S$9)</f>
        <v>6.412145999999999</v>
      </c>
      <c r="I74" s="212">
        <f t="shared" si="8"/>
        <v>15.612145999999999</v>
      </c>
      <c r="J74" s="212">
        <f>'Ex. Herbidcide Program'!J19</f>
        <v>14.45966</v>
      </c>
      <c r="K74" s="452">
        <f t="shared" si="7"/>
        <v>30.071805999999999</v>
      </c>
      <c r="L74" s="26" t="s">
        <v>216</v>
      </c>
      <c r="M74" s="26"/>
      <c r="N74" s="25"/>
      <c r="O74" s="25"/>
      <c r="P74" s="26"/>
      <c r="Q74" s="26"/>
      <c r="R74" s="138"/>
      <c r="S74" s="26"/>
      <c r="T74" s="26"/>
      <c r="U74" s="26"/>
      <c r="V74" s="26"/>
    </row>
    <row r="75" spans="2:22" x14ac:dyDescent="0.2">
      <c r="B75" s="562"/>
      <c r="C75" s="71" t="s">
        <v>221</v>
      </c>
      <c r="D75" s="51" t="s">
        <v>191</v>
      </c>
      <c r="E75" s="450">
        <v>0.6</v>
      </c>
      <c r="F75" s="450">
        <v>0.5</v>
      </c>
      <c r="G75" s="212">
        <f>E75*IF(ISBLANK('General Assumptions'!$G$19),'General Assumptions'!$E$19,'General Assumptions'!$G$19)</f>
        <v>13.799999999999999</v>
      </c>
      <c r="H75" s="212">
        <f>F75*('Machinery &amp; Equipment'!$S$7+'Machinery &amp; Equipment'!$S$8)</f>
        <v>15.43441</v>
      </c>
      <c r="I75" s="212">
        <f t="shared" si="8"/>
        <v>29.234409999999997</v>
      </c>
      <c r="J75" s="212">
        <f>'Ex. Spray Program'!R28</f>
        <v>30.246041666666667</v>
      </c>
      <c r="K75" s="452">
        <f t="shared" si="7"/>
        <v>59.480451666666667</v>
      </c>
      <c r="L75" s="26" t="s">
        <v>203</v>
      </c>
      <c r="M75" s="26"/>
      <c r="N75" s="25"/>
      <c r="O75" s="25"/>
      <c r="P75" s="26"/>
      <c r="Q75" s="26"/>
      <c r="R75" s="138"/>
      <c r="S75" s="26"/>
      <c r="T75" s="26"/>
      <c r="U75" s="26"/>
      <c r="V75" s="26"/>
    </row>
    <row r="76" spans="2:22" x14ac:dyDescent="0.2">
      <c r="B76" s="562"/>
      <c r="C76" s="71" t="s">
        <v>222</v>
      </c>
      <c r="D76" s="51" t="s">
        <v>191</v>
      </c>
      <c r="E76" s="450">
        <v>0.6</v>
      </c>
      <c r="F76" s="450">
        <v>0.5</v>
      </c>
      <c r="G76" s="212">
        <f>E76*IF(ISBLANK('General Assumptions'!$G$19),'General Assumptions'!$E$19,'General Assumptions'!$G$19)</f>
        <v>13.799999999999999</v>
      </c>
      <c r="H76" s="212">
        <f>F76*('Machinery &amp; Equipment'!$S$7+'Machinery &amp; Equipment'!$S$8)</f>
        <v>15.43441</v>
      </c>
      <c r="I76" s="212">
        <f t="shared" si="8"/>
        <v>29.234409999999997</v>
      </c>
      <c r="J76" s="212">
        <f>'Ex. Spray Program'!R31</f>
        <v>30.246041666666667</v>
      </c>
      <c r="K76" s="452">
        <f t="shared" si="7"/>
        <v>59.480451666666667</v>
      </c>
      <c r="L76" s="26" t="s">
        <v>203</v>
      </c>
      <c r="M76" s="26"/>
      <c r="N76" s="25"/>
      <c r="O76" s="25"/>
      <c r="P76" s="26"/>
      <c r="Q76" s="26"/>
      <c r="R76" s="138"/>
      <c r="S76" s="26"/>
      <c r="T76" s="26"/>
      <c r="U76" s="26"/>
      <c r="V76" s="26"/>
    </row>
    <row r="77" spans="2:22" x14ac:dyDescent="0.2">
      <c r="B77" s="562"/>
      <c r="C77" s="71" t="s">
        <v>223</v>
      </c>
      <c r="D77" s="51" t="s">
        <v>191</v>
      </c>
      <c r="E77" s="450">
        <v>0.6</v>
      </c>
      <c r="F77" s="450">
        <v>0.5</v>
      </c>
      <c r="G77" s="212">
        <f>E77*IF(ISBLANK('General Assumptions'!$G$19),'General Assumptions'!$E$19,'General Assumptions'!$G$19)</f>
        <v>13.799999999999999</v>
      </c>
      <c r="H77" s="212">
        <f>F77*('Machinery &amp; Equipment'!$S$7+'Machinery &amp; Equipment'!$S$8)</f>
        <v>15.43441</v>
      </c>
      <c r="I77" s="212">
        <f t="shared" si="8"/>
        <v>29.234409999999997</v>
      </c>
      <c r="J77" s="212">
        <f>'Ex. Spray Program'!R34</f>
        <v>23.359401041666668</v>
      </c>
      <c r="K77" s="452">
        <f t="shared" si="7"/>
        <v>52.593811041666669</v>
      </c>
      <c r="L77" s="26" t="s">
        <v>203</v>
      </c>
      <c r="M77" s="26"/>
      <c r="N77" s="25"/>
      <c r="O77" s="25"/>
      <c r="P77" s="26"/>
      <c r="Q77" s="26"/>
      <c r="R77" s="138"/>
      <c r="S77" s="26"/>
      <c r="T77" s="26"/>
      <c r="U77" s="26"/>
      <c r="V77" s="26"/>
    </row>
    <row r="78" spans="2:22" x14ac:dyDescent="0.2">
      <c r="B78" s="562"/>
      <c r="C78" s="71" t="s">
        <v>242</v>
      </c>
      <c r="D78" s="51" t="s">
        <v>191</v>
      </c>
      <c r="E78" s="450">
        <v>0.6</v>
      </c>
      <c r="F78" s="450">
        <v>0.5</v>
      </c>
      <c r="G78" s="212">
        <f>E78*IF(ISBLANK('General Assumptions'!$G$19),'General Assumptions'!$E$19,'General Assumptions'!$G$19)</f>
        <v>13.799999999999999</v>
      </c>
      <c r="H78" s="212">
        <f>F78*('Machinery &amp; Equipment'!$S$7+'Machinery &amp; Equipment'!$S$8)</f>
        <v>15.43441</v>
      </c>
      <c r="I78" s="212">
        <f t="shared" si="8"/>
        <v>29.234409999999997</v>
      </c>
      <c r="J78" s="212">
        <f>'Ex. Spray Program'!R37</f>
        <v>23.359401041666668</v>
      </c>
      <c r="K78" s="452">
        <f t="shared" si="7"/>
        <v>52.593811041666669</v>
      </c>
      <c r="L78" s="26" t="s">
        <v>203</v>
      </c>
      <c r="M78" s="26"/>
      <c r="N78" s="25"/>
      <c r="O78" s="25"/>
      <c r="P78" s="26"/>
      <c r="Q78" s="26"/>
      <c r="R78" s="138"/>
      <c r="S78" s="26"/>
      <c r="T78" s="26"/>
      <c r="U78" s="26"/>
      <c r="V78" s="26"/>
    </row>
    <row r="79" spans="2:22" x14ac:dyDescent="0.2">
      <c r="B79" s="562"/>
      <c r="C79" s="71" t="s">
        <v>254</v>
      </c>
      <c r="D79" s="51" t="s">
        <v>191</v>
      </c>
      <c r="E79" s="450">
        <v>0.6</v>
      </c>
      <c r="F79" s="450">
        <v>0.5</v>
      </c>
      <c r="G79" s="212">
        <f>E79*IF(ISBLANK('General Assumptions'!$G$19),'General Assumptions'!$E$19,'General Assumptions'!$G$19)</f>
        <v>13.799999999999999</v>
      </c>
      <c r="H79" s="212">
        <f>F79*('Machinery &amp; Equipment'!$S$7+'Machinery &amp; Equipment'!$S$8)</f>
        <v>15.43441</v>
      </c>
      <c r="I79" s="212">
        <f t="shared" si="8"/>
        <v>29.234409999999997</v>
      </c>
      <c r="J79" s="212">
        <f>'Ex. Spray Program'!R40</f>
        <v>22.520208333333333</v>
      </c>
      <c r="K79" s="452">
        <f t="shared" si="7"/>
        <v>51.754618333333326</v>
      </c>
      <c r="L79" s="26" t="s">
        <v>203</v>
      </c>
      <c r="M79" s="26"/>
      <c r="N79" s="25"/>
      <c r="O79" s="25"/>
      <c r="P79" s="26"/>
      <c r="Q79" s="26"/>
      <c r="R79" s="138"/>
      <c r="S79" s="26"/>
      <c r="T79" s="26"/>
      <c r="U79" s="26"/>
      <c r="V79" s="26"/>
    </row>
    <row r="80" spans="2:22" x14ac:dyDescent="0.2">
      <c r="B80" s="562"/>
      <c r="C80" s="71" t="s">
        <v>255</v>
      </c>
      <c r="D80" s="51" t="s">
        <v>191</v>
      </c>
      <c r="E80" s="450">
        <v>0.6</v>
      </c>
      <c r="F80" s="450">
        <v>0.5</v>
      </c>
      <c r="G80" s="212">
        <f>E80*IF(ISBLANK('General Assumptions'!$G$19),'General Assumptions'!$E$19,'General Assumptions'!$G$19)</f>
        <v>13.799999999999999</v>
      </c>
      <c r="H80" s="212">
        <f>F80*('Machinery &amp; Equipment'!$S$7+'Machinery &amp; Equipment'!$S$8)</f>
        <v>15.43441</v>
      </c>
      <c r="I80" s="212">
        <f t="shared" si="8"/>
        <v>29.234409999999997</v>
      </c>
      <c r="J80" s="212">
        <f>'Ex. Spray Program'!R43</f>
        <v>22.520208333333333</v>
      </c>
      <c r="K80" s="452">
        <f t="shared" si="7"/>
        <v>51.754618333333326</v>
      </c>
      <c r="L80" s="26" t="s">
        <v>203</v>
      </c>
      <c r="M80" s="26"/>
      <c r="N80" s="25"/>
      <c r="O80" s="25"/>
      <c r="P80" s="26"/>
      <c r="Q80" s="26"/>
      <c r="R80" s="138"/>
      <c r="S80" s="26"/>
      <c r="T80" s="26"/>
      <c r="U80" s="26"/>
      <c r="V80" s="26"/>
    </row>
    <row r="81" spans="2:22" x14ac:dyDescent="0.2">
      <c r="B81" s="562"/>
      <c r="C81" s="71" t="s">
        <v>256</v>
      </c>
      <c r="D81" s="51" t="s">
        <v>191</v>
      </c>
      <c r="E81" s="450">
        <v>0.6</v>
      </c>
      <c r="F81" s="450">
        <v>0.5</v>
      </c>
      <c r="G81" s="212">
        <f>E81*IF(ISBLANK('General Assumptions'!$G$19),'General Assumptions'!$E$19,'General Assumptions'!$G$19)</f>
        <v>13.799999999999999</v>
      </c>
      <c r="H81" s="212">
        <f>F81*('Machinery &amp; Equipment'!$S$7+'Machinery &amp; Equipment'!$S$8)</f>
        <v>15.43441</v>
      </c>
      <c r="I81" s="212">
        <f t="shared" si="8"/>
        <v>29.234409999999997</v>
      </c>
      <c r="J81" s="212">
        <f>'Ex. Spray Program'!R46</f>
        <v>22.520208333333333</v>
      </c>
      <c r="K81" s="452">
        <f t="shared" si="7"/>
        <v>51.754618333333326</v>
      </c>
      <c r="L81" s="26" t="s">
        <v>203</v>
      </c>
      <c r="M81" s="26"/>
      <c r="N81" s="25"/>
      <c r="O81" s="25"/>
      <c r="P81" s="26"/>
      <c r="Q81" s="26"/>
      <c r="R81" s="138"/>
      <c r="S81" s="26"/>
      <c r="T81" s="26"/>
      <c r="U81" s="26"/>
      <c r="V81" s="26"/>
    </row>
    <row r="82" spans="2:22" x14ac:dyDescent="0.2">
      <c r="B82" s="562"/>
      <c r="C82" s="71" t="s">
        <v>197</v>
      </c>
      <c r="D82" s="51" t="s">
        <v>191</v>
      </c>
      <c r="E82" s="450">
        <v>0.6</v>
      </c>
      <c r="F82" s="450">
        <v>0.5</v>
      </c>
      <c r="G82" s="212">
        <f>E82*IF(ISBLANK('General Assumptions'!$G$19),'General Assumptions'!$E$19,'General Assumptions'!$G$19)</f>
        <v>13.799999999999999</v>
      </c>
      <c r="H82" s="212">
        <f>('Machinery &amp; Equipment'!$S$7+'Machinery &amp; Equipment'!$S$11)*'Establishment &amp; Dev Costs'!F82</f>
        <v>11.017743333333334</v>
      </c>
      <c r="I82" s="212">
        <f t="shared" si="8"/>
        <v>24.817743333333333</v>
      </c>
      <c r="J82" s="212">
        <f>'General Assumptions'!M23</f>
        <v>148.84220000000002</v>
      </c>
      <c r="K82" s="452">
        <f>SUM(G82:J82)</f>
        <v>198.47768666666667</v>
      </c>
      <c r="L82" s="26"/>
      <c r="M82" s="26"/>
      <c r="N82" s="25"/>
      <c r="O82" s="25"/>
      <c r="P82" s="26"/>
      <c r="Q82" s="26"/>
      <c r="R82" s="138"/>
      <c r="S82" s="26"/>
      <c r="T82" s="26"/>
      <c r="U82" s="26"/>
      <c r="V82" s="26"/>
    </row>
    <row r="83" spans="2:22" x14ac:dyDescent="0.2">
      <c r="B83" s="562"/>
      <c r="C83" s="71" t="s">
        <v>243</v>
      </c>
      <c r="D83" s="51" t="s">
        <v>191</v>
      </c>
      <c r="E83" s="450">
        <v>2.6</v>
      </c>
      <c r="F83" s="450">
        <v>2</v>
      </c>
      <c r="G83" s="212">
        <f>E83*IF(ISBLANK('General Assumptions'!$G$19),'General Assumptions'!$E$19,'General Assumptions'!$G$19)</f>
        <v>59.800000000000004</v>
      </c>
      <c r="H83" s="212">
        <f>F83*('Machinery &amp; Equipment'!$S$7+'Machinery &amp; Equipment'!$S$10)</f>
        <v>43.297640000000001</v>
      </c>
      <c r="I83" s="212">
        <f t="shared" si="8"/>
        <v>103.09764000000001</v>
      </c>
      <c r="J83" s="212"/>
      <c r="K83" s="452">
        <f t="shared" si="7"/>
        <v>103.09764000000001</v>
      </c>
      <c r="L83" s="26" t="s">
        <v>206</v>
      </c>
      <c r="M83" s="26"/>
      <c r="N83" s="25"/>
      <c r="O83" s="25"/>
      <c r="P83" s="26"/>
      <c r="Q83" s="26"/>
      <c r="R83" s="138"/>
      <c r="S83" s="26"/>
      <c r="T83" s="26"/>
      <c r="U83" s="26"/>
      <c r="V83" s="26"/>
    </row>
    <row r="84" spans="2:22" x14ac:dyDescent="0.2">
      <c r="B84" s="562"/>
      <c r="C84" s="71" t="s">
        <v>213</v>
      </c>
      <c r="D84" s="51" t="s">
        <v>191</v>
      </c>
      <c r="E84" s="450">
        <v>1.7</v>
      </c>
      <c r="F84" s="450">
        <v>1.5</v>
      </c>
      <c r="G84" s="212">
        <f>E84*IF(ISBLANK('General Assumptions'!$G$19),'General Assumptions'!$E$19,'General Assumptions'!$G$19)</f>
        <v>39.1</v>
      </c>
      <c r="H84" s="212">
        <f>F84*('Machinery &amp; Equipment'!$S$7+'Machinery &amp; Equipment'!$S$13)</f>
        <v>38.653229999999994</v>
      </c>
      <c r="I84" s="212">
        <f t="shared" si="8"/>
        <v>77.753230000000002</v>
      </c>
      <c r="J84" s="212"/>
      <c r="K84" s="452">
        <f t="shared" si="7"/>
        <v>77.753230000000002</v>
      </c>
      <c r="L84" s="26" t="s">
        <v>214</v>
      </c>
      <c r="M84" s="26"/>
      <c r="N84" s="25"/>
      <c r="O84" s="25"/>
      <c r="P84" s="26"/>
      <c r="Q84" s="26"/>
      <c r="R84" s="138"/>
      <c r="S84" s="26"/>
      <c r="T84" s="26"/>
      <c r="U84" s="26"/>
      <c r="V84" s="26"/>
    </row>
    <row r="85" spans="2:22" x14ac:dyDescent="0.2">
      <c r="B85" s="562"/>
      <c r="C85" s="71" t="s">
        <v>200</v>
      </c>
      <c r="D85" s="51" t="s">
        <v>201</v>
      </c>
      <c r="E85" s="450" t="s">
        <v>201</v>
      </c>
      <c r="F85" s="450" t="s">
        <v>201</v>
      </c>
      <c r="G85" s="212"/>
      <c r="H85" s="212">
        <v>70.86</v>
      </c>
      <c r="I85" s="212">
        <f t="shared" si="8"/>
        <v>70.86</v>
      </c>
      <c r="J85" s="212"/>
      <c r="K85" s="452">
        <f>G85+H85+J85</f>
        <v>70.86</v>
      </c>
      <c r="L85" s="26" t="s">
        <v>202</v>
      </c>
      <c r="M85" s="26"/>
      <c r="N85" s="25"/>
      <c r="O85" s="25"/>
      <c r="P85" s="26"/>
      <c r="Q85" s="26"/>
      <c r="R85" s="138"/>
      <c r="S85" s="26"/>
      <c r="T85" s="26"/>
      <c r="U85" s="26"/>
      <c r="V85" s="26"/>
    </row>
    <row r="86" spans="2:22" x14ac:dyDescent="0.2">
      <c r="B86" s="562"/>
      <c r="C86" s="215"/>
      <c r="D86" s="215"/>
      <c r="E86" s="479"/>
      <c r="F86" s="479"/>
      <c r="G86" s="481"/>
      <c r="H86" s="481"/>
      <c r="I86" s="212">
        <f t="shared" si="8"/>
        <v>0</v>
      </c>
      <c r="J86" s="481"/>
      <c r="K86" s="482"/>
      <c r="L86" s="26"/>
      <c r="M86" s="26"/>
      <c r="N86" s="25"/>
      <c r="O86" s="25"/>
      <c r="P86" s="26"/>
      <c r="Q86" s="26"/>
      <c r="R86" s="138"/>
      <c r="S86" s="26"/>
      <c r="T86" s="26"/>
      <c r="U86" s="26"/>
      <c r="V86" s="26"/>
    </row>
    <row r="87" spans="2:22" ht="17" thickBot="1" x14ac:dyDescent="0.25">
      <c r="B87" s="563"/>
      <c r="C87" s="144" t="s">
        <v>205</v>
      </c>
      <c r="D87" s="69"/>
      <c r="E87" s="483">
        <f>SUM(E63:E85)</f>
        <v>62.700000000000017</v>
      </c>
      <c r="F87" s="483">
        <f>SUM(F63:F84)</f>
        <v>15.6</v>
      </c>
      <c r="G87" s="461">
        <f>SUM(G63:G85)</f>
        <v>1299.0999999999997</v>
      </c>
      <c r="H87" s="461">
        <f>SUM(H63:H85)</f>
        <v>452.96992533333344</v>
      </c>
      <c r="I87" s="461">
        <f>G87+H87</f>
        <v>1752.0699253333332</v>
      </c>
      <c r="J87" s="461">
        <f>SUM(J63:J85)</f>
        <v>532.95303041666671</v>
      </c>
      <c r="K87" s="485">
        <f>SUM(K63:K85)</f>
        <v>2379.8406990833328</v>
      </c>
      <c r="L87" s="26"/>
      <c r="M87" s="26"/>
      <c r="N87" s="25"/>
      <c r="O87" s="25"/>
      <c r="P87" s="26"/>
      <c r="Q87" s="26"/>
      <c r="R87" s="138"/>
      <c r="S87" s="26"/>
      <c r="T87" s="26"/>
      <c r="U87" s="26"/>
      <c r="V87" s="26"/>
    </row>
    <row r="88" spans="2:22" x14ac:dyDescent="0.2">
      <c r="C88" s="109"/>
      <c r="D88" s="109"/>
      <c r="E88" s="109"/>
      <c r="F88" s="109"/>
      <c r="G88" s="109"/>
      <c r="H88" s="109"/>
      <c r="I88" s="109"/>
      <c r="J88" s="109"/>
      <c r="K88" s="109"/>
      <c r="L88" s="26"/>
      <c r="M88" s="26"/>
      <c r="N88" s="25"/>
      <c r="O88" s="25"/>
      <c r="P88" s="26"/>
      <c r="Q88" s="26"/>
      <c r="R88" s="138"/>
      <c r="S88" s="26"/>
      <c r="T88" s="26"/>
      <c r="U88" s="26"/>
      <c r="V88" s="26"/>
    </row>
    <row r="89" spans="2:22" x14ac:dyDescent="0.2">
      <c r="C89" s="109"/>
      <c r="D89" s="109"/>
      <c r="E89" s="109"/>
      <c r="F89" s="109"/>
      <c r="G89" s="109"/>
      <c r="H89" s="109"/>
      <c r="I89" s="109"/>
      <c r="J89" s="109"/>
      <c r="K89" s="109"/>
      <c r="L89" s="26"/>
      <c r="M89" s="26"/>
      <c r="N89" s="25"/>
      <c r="O89" s="25"/>
      <c r="P89" s="26"/>
      <c r="Q89" s="26"/>
      <c r="R89" s="138"/>
      <c r="S89" s="26"/>
      <c r="T89" s="26"/>
      <c r="U89" s="26"/>
      <c r="V89" s="26"/>
    </row>
    <row r="90" spans="2:22" x14ac:dyDescent="0.2">
      <c r="C90" s="109"/>
      <c r="D90" s="109"/>
      <c r="E90" s="109"/>
      <c r="F90" s="109"/>
      <c r="G90" s="109"/>
      <c r="H90" s="109"/>
      <c r="I90" s="109"/>
      <c r="J90" s="109"/>
      <c r="K90" s="109"/>
      <c r="L90" s="26"/>
      <c r="M90" s="26"/>
      <c r="N90" s="25"/>
      <c r="O90" s="25"/>
      <c r="P90" s="26"/>
      <c r="Q90" s="26"/>
      <c r="R90" s="138"/>
      <c r="S90" s="26"/>
      <c r="T90" s="26"/>
      <c r="U90" s="26"/>
      <c r="V90" s="26"/>
    </row>
    <row r="91" spans="2:22" x14ac:dyDescent="0.2">
      <c r="C91" s="109"/>
      <c r="D91" s="109"/>
      <c r="E91" s="109"/>
      <c r="F91" s="109"/>
      <c r="G91" s="109"/>
      <c r="H91" s="109"/>
      <c r="I91" s="109"/>
      <c r="J91" s="109"/>
      <c r="K91" s="109"/>
      <c r="L91" s="26"/>
      <c r="M91" s="26"/>
      <c r="N91" s="25"/>
      <c r="O91" s="25"/>
      <c r="P91" s="26"/>
      <c r="Q91" s="26"/>
      <c r="R91" s="138"/>
      <c r="S91" s="26"/>
      <c r="T91" s="26"/>
      <c r="U91" s="26"/>
      <c r="V91" s="26"/>
    </row>
    <row r="92" spans="2:22" x14ac:dyDescent="0.2">
      <c r="C92" s="109"/>
      <c r="D92" s="109"/>
      <c r="E92" s="109"/>
      <c r="F92" s="109"/>
      <c r="G92" s="109"/>
      <c r="H92" s="109"/>
      <c r="I92" s="109"/>
      <c r="J92" s="109"/>
      <c r="K92" s="109"/>
      <c r="L92" s="26"/>
      <c r="M92" s="26"/>
      <c r="N92" s="25"/>
      <c r="O92" s="25"/>
      <c r="P92" s="26"/>
      <c r="Q92" s="26"/>
      <c r="R92" s="138"/>
      <c r="S92" s="26"/>
      <c r="T92" s="26"/>
      <c r="U92" s="26"/>
      <c r="V92" s="26"/>
    </row>
    <row r="93" spans="2:22" x14ac:dyDescent="0.2">
      <c r="C93" s="109"/>
      <c r="D93" s="109"/>
      <c r="E93" s="109"/>
      <c r="F93" s="109"/>
      <c r="G93" s="109"/>
      <c r="H93" s="109"/>
      <c r="I93" s="109"/>
      <c r="J93" s="109"/>
      <c r="K93" s="109"/>
      <c r="L93" s="26"/>
      <c r="M93" s="26"/>
      <c r="N93" s="25"/>
      <c r="O93" s="25"/>
      <c r="P93" s="26"/>
      <c r="Q93" s="26"/>
      <c r="R93" s="138"/>
      <c r="S93" s="26"/>
      <c r="T93" s="26"/>
      <c r="U93" s="26"/>
      <c r="V93" s="26"/>
    </row>
    <row r="94" spans="2:22" x14ac:dyDescent="0.2">
      <c r="C94" s="109"/>
      <c r="D94" s="109"/>
      <c r="E94" s="109"/>
      <c r="F94" s="109"/>
      <c r="G94" s="109"/>
      <c r="H94" s="109"/>
      <c r="I94" s="109"/>
      <c r="J94" s="109"/>
      <c r="K94" s="109"/>
      <c r="L94" s="26"/>
      <c r="M94" s="26"/>
      <c r="N94" s="25"/>
      <c r="O94" s="25"/>
      <c r="P94" s="26"/>
      <c r="Q94" s="26"/>
      <c r="R94" s="138"/>
      <c r="S94" s="26"/>
      <c r="T94" s="26"/>
      <c r="U94" s="26"/>
      <c r="V94" s="26"/>
    </row>
    <row r="95" spans="2:22" x14ac:dyDescent="0.2">
      <c r="C95" s="109"/>
      <c r="D95" s="109"/>
      <c r="E95" s="109"/>
      <c r="F95" s="109"/>
      <c r="G95" s="109"/>
      <c r="H95" s="109"/>
      <c r="I95" s="109"/>
      <c r="J95" s="109"/>
      <c r="K95" s="109"/>
      <c r="L95" s="26"/>
      <c r="M95" s="26"/>
      <c r="N95" s="25"/>
      <c r="O95" s="25"/>
      <c r="P95" s="26"/>
      <c r="Q95" s="26"/>
      <c r="R95" s="138"/>
      <c r="S95" s="26"/>
      <c r="T95" s="26"/>
      <c r="U95" s="26"/>
      <c r="V95" s="26"/>
    </row>
    <row r="96" spans="2:22" x14ac:dyDescent="0.2">
      <c r="C96" s="109"/>
      <c r="D96" s="109"/>
      <c r="E96" s="109"/>
      <c r="F96" s="109"/>
      <c r="G96" s="109"/>
      <c r="H96" s="109"/>
      <c r="I96" s="109"/>
      <c r="J96" s="109"/>
      <c r="K96" s="109"/>
      <c r="L96" s="26"/>
      <c r="M96" s="26"/>
      <c r="N96" s="25"/>
      <c r="O96" s="25"/>
      <c r="P96" s="26"/>
      <c r="Q96" s="26"/>
      <c r="R96" s="138"/>
      <c r="S96" s="26"/>
      <c r="T96" s="26"/>
      <c r="U96" s="26"/>
      <c r="V96" s="26"/>
    </row>
    <row r="97" spans="3:22" x14ac:dyDescent="0.2">
      <c r="C97" s="109"/>
      <c r="D97" s="109"/>
      <c r="E97" s="109"/>
      <c r="F97" s="109"/>
      <c r="G97" s="109"/>
      <c r="H97" s="109"/>
      <c r="I97" s="109"/>
      <c r="J97" s="109"/>
      <c r="K97" s="109"/>
      <c r="L97" s="26"/>
      <c r="M97" s="26"/>
      <c r="N97" s="25"/>
      <c r="O97" s="25"/>
      <c r="P97" s="26"/>
      <c r="Q97" s="26"/>
      <c r="R97" s="138"/>
      <c r="S97" s="26"/>
      <c r="T97" s="26"/>
      <c r="U97" s="26"/>
      <c r="V97" s="26"/>
    </row>
    <row r="98" spans="3:22" x14ac:dyDescent="0.2">
      <c r="C98" s="109"/>
      <c r="D98" s="109"/>
      <c r="E98" s="109"/>
      <c r="F98" s="109"/>
      <c r="G98" s="109"/>
      <c r="H98" s="109"/>
      <c r="I98" s="109"/>
      <c r="J98" s="109"/>
      <c r="K98" s="109"/>
      <c r="L98" s="26"/>
      <c r="M98" s="26"/>
      <c r="N98" s="25"/>
      <c r="O98" s="25"/>
      <c r="P98" s="26"/>
      <c r="Q98" s="26"/>
      <c r="R98" s="138"/>
      <c r="S98" s="26"/>
      <c r="T98" s="26"/>
      <c r="U98" s="26"/>
      <c r="V98" s="26"/>
    </row>
    <row r="99" spans="3:22" x14ac:dyDescent="0.2">
      <c r="C99" s="109"/>
      <c r="D99" s="109"/>
      <c r="E99" s="109"/>
      <c r="F99" s="109"/>
      <c r="G99" s="109"/>
      <c r="H99" s="109"/>
      <c r="I99" s="109"/>
      <c r="J99" s="109"/>
      <c r="K99" s="109"/>
      <c r="L99" s="26"/>
      <c r="M99" s="26"/>
      <c r="N99" s="25"/>
      <c r="O99" s="25"/>
      <c r="P99" s="26"/>
      <c r="Q99" s="26"/>
      <c r="R99" s="138"/>
      <c r="S99" s="26"/>
      <c r="T99" s="26"/>
      <c r="U99" s="26"/>
      <c r="V99" s="26"/>
    </row>
    <row r="100" spans="3:22" x14ac:dyDescent="0.2">
      <c r="C100" s="109"/>
      <c r="D100" s="109"/>
      <c r="E100" s="109"/>
      <c r="F100" s="109"/>
      <c r="G100" s="109"/>
      <c r="H100" s="109"/>
      <c r="I100" s="109"/>
      <c r="J100" s="109"/>
      <c r="K100" s="109"/>
      <c r="L100" s="26"/>
      <c r="M100" s="26"/>
      <c r="N100" s="25"/>
      <c r="O100" s="25"/>
      <c r="P100" s="26"/>
      <c r="Q100" s="26"/>
      <c r="R100" s="138"/>
      <c r="S100" s="26"/>
      <c r="T100" s="26"/>
      <c r="U100" s="26"/>
      <c r="V100" s="26"/>
    </row>
    <row r="101" spans="3:22" x14ac:dyDescent="0.2">
      <c r="C101" s="109"/>
      <c r="D101" s="109"/>
      <c r="E101" s="109"/>
      <c r="F101" s="109"/>
      <c r="G101" s="109"/>
      <c r="H101" s="109"/>
      <c r="I101" s="109"/>
      <c r="J101" s="109"/>
      <c r="K101" s="109"/>
      <c r="L101" s="26"/>
      <c r="M101" s="26"/>
      <c r="N101" s="25"/>
      <c r="O101" s="25"/>
      <c r="P101" s="26"/>
      <c r="Q101" s="26"/>
      <c r="R101" s="138"/>
      <c r="S101" s="26"/>
      <c r="T101" s="26"/>
      <c r="U101" s="26"/>
      <c r="V101" s="26"/>
    </row>
    <row r="102" spans="3:22" x14ac:dyDescent="0.2">
      <c r="C102" s="109"/>
      <c r="D102" s="109"/>
      <c r="E102" s="109"/>
      <c r="F102" s="109"/>
      <c r="G102" s="109"/>
      <c r="H102" s="109"/>
      <c r="I102" s="109"/>
      <c r="J102" s="109"/>
      <c r="K102" s="109"/>
      <c r="L102" s="26"/>
      <c r="M102" s="26"/>
      <c r="N102" s="25"/>
      <c r="O102" s="25"/>
      <c r="P102" s="26"/>
      <c r="Q102" s="26"/>
      <c r="R102" s="138"/>
      <c r="S102" s="26"/>
      <c r="T102" s="26"/>
      <c r="U102" s="26"/>
      <c r="V102" s="26"/>
    </row>
    <row r="103" spans="3:22" x14ac:dyDescent="0.2">
      <c r="C103" s="109"/>
      <c r="D103" s="109"/>
      <c r="E103" s="109"/>
      <c r="F103" s="109"/>
      <c r="G103" s="109"/>
      <c r="H103" s="109"/>
      <c r="I103" s="109"/>
      <c r="J103" s="109"/>
      <c r="K103" s="109"/>
      <c r="L103" s="26"/>
      <c r="M103" s="26"/>
      <c r="N103" s="25"/>
      <c r="O103" s="25"/>
      <c r="P103" s="26"/>
      <c r="Q103" s="26"/>
      <c r="R103" s="138"/>
      <c r="S103" s="26"/>
      <c r="T103" s="26"/>
      <c r="U103" s="26"/>
      <c r="V103" s="26"/>
    </row>
    <row r="104" spans="3:22" x14ac:dyDescent="0.2">
      <c r="C104" s="109"/>
      <c r="D104" s="109"/>
      <c r="E104" s="109"/>
      <c r="F104" s="109"/>
      <c r="G104" s="109"/>
      <c r="H104" s="109"/>
      <c r="I104" s="109"/>
      <c r="J104" s="109"/>
      <c r="K104" s="109"/>
      <c r="L104" s="26"/>
      <c r="M104" s="26"/>
      <c r="N104" s="25"/>
      <c r="O104" s="25"/>
      <c r="P104" s="26"/>
      <c r="Q104" s="26"/>
      <c r="R104" s="138"/>
      <c r="S104" s="26"/>
      <c r="T104" s="26"/>
      <c r="U104" s="26"/>
      <c r="V104" s="26"/>
    </row>
    <row r="105" spans="3:22" x14ac:dyDescent="0.2">
      <c r="C105" s="109"/>
      <c r="D105" s="109"/>
      <c r="E105" s="109"/>
      <c r="F105" s="109"/>
      <c r="G105" s="109"/>
      <c r="H105" s="109"/>
      <c r="I105" s="109"/>
      <c r="J105" s="109"/>
      <c r="K105" s="109"/>
      <c r="L105" s="26"/>
      <c r="M105" s="26"/>
      <c r="N105" s="25"/>
      <c r="O105" s="25"/>
      <c r="P105" s="26"/>
      <c r="Q105" s="26"/>
      <c r="R105" s="138"/>
      <c r="S105" s="26"/>
      <c r="T105" s="26"/>
      <c r="U105" s="26"/>
      <c r="V105" s="26"/>
    </row>
    <row r="106" spans="3:22" x14ac:dyDescent="0.2">
      <c r="C106" s="109"/>
      <c r="D106" s="109"/>
      <c r="E106" s="109"/>
      <c r="F106" s="109"/>
      <c r="G106" s="109"/>
      <c r="H106" s="109"/>
      <c r="I106" s="109"/>
      <c r="J106" s="109"/>
      <c r="K106" s="109"/>
      <c r="L106" s="26"/>
      <c r="M106" s="26"/>
      <c r="N106" s="25"/>
      <c r="O106" s="25"/>
      <c r="P106" s="26"/>
      <c r="Q106" s="26"/>
      <c r="R106" s="138"/>
      <c r="S106" s="26"/>
      <c r="T106" s="26"/>
      <c r="U106" s="26"/>
      <c r="V106" s="26"/>
    </row>
    <row r="107" spans="3:22" x14ac:dyDescent="0.2">
      <c r="C107" s="109"/>
      <c r="D107" s="109"/>
      <c r="E107" s="109"/>
      <c r="F107" s="109"/>
      <c r="G107" s="109"/>
      <c r="H107" s="109"/>
      <c r="I107" s="109"/>
      <c r="J107" s="109"/>
      <c r="K107" s="109"/>
      <c r="L107" s="26"/>
      <c r="M107" s="26"/>
      <c r="N107" s="25"/>
      <c r="O107" s="25"/>
      <c r="P107" s="26"/>
      <c r="Q107" s="26"/>
      <c r="R107" s="138"/>
      <c r="S107" s="26"/>
      <c r="T107" s="26"/>
      <c r="U107" s="26"/>
      <c r="V107" s="26"/>
    </row>
    <row r="108" spans="3:22" x14ac:dyDescent="0.2">
      <c r="C108" s="109"/>
      <c r="D108" s="109"/>
      <c r="E108" s="109"/>
      <c r="F108" s="109"/>
      <c r="G108" s="109"/>
      <c r="H108" s="109"/>
      <c r="I108" s="109"/>
      <c r="J108" s="109"/>
      <c r="K108" s="109"/>
      <c r="L108" s="26"/>
      <c r="M108" s="26"/>
      <c r="N108" s="25"/>
      <c r="O108" s="25"/>
      <c r="P108" s="26"/>
      <c r="Q108" s="26"/>
      <c r="R108" s="138"/>
      <c r="S108" s="26"/>
      <c r="T108" s="26"/>
      <c r="U108" s="26"/>
      <c r="V108" s="26"/>
    </row>
    <row r="109" spans="3:22" x14ac:dyDescent="0.2">
      <c r="C109" s="109"/>
      <c r="D109" s="109"/>
      <c r="E109" s="109"/>
      <c r="F109" s="109"/>
      <c r="G109" s="109"/>
      <c r="H109" s="109"/>
      <c r="I109" s="109"/>
      <c r="J109" s="109"/>
      <c r="K109" s="109"/>
      <c r="L109" s="26"/>
      <c r="M109" s="26"/>
      <c r="N109" s="25"/>
      <c r="O109" s="25"/>
      <c r="P109" s="26"/>
      <c r="Q109" s="26"/>
      <c r="R109" s="138"/>
      <c r="S109" s="26"/>
      <c r="T109" s="26"/>
      <c r="U109" s="26"/>
      <c r="V109" s="26"/>
    </row>
    <row r="110" spans="3:22" x14ac:dyDescent="0.2">
      <c r="C110" s="109"/>
      <c r="D110" s="109"/>
      <c r="E110" s="109"/>
      <c r="F110" s="109"/>
      <c r="G110" s="109"/>
      <c r="H110" s="109"/>
      <c r="I110" s="109"/>
      <c r="J110" s="109"/>
      <c r="K110" s="109"/>
      <c r="L110" s="26"/>
      <c r="M110" s="26"/>
      <c r="N110" s="25"/>
      <c r="O110" s="25"/>
      <c r="P110" s="26"/>
      <c r="Q110" s="26"/>
      <c r="R110" s="138"/>
      <c r="S110" s="26"/>
      <c r="T110" s="26"/>
      <c r="U110" s="26"/>
      <c r="V110" s="26"/>
    </row>
    <row r="111" spans="3:22" x14ac:dyDescent="0.2">
      <c r="C111" s="109"/>
      <c r="D111" s="109"/>
      <c r="E111" s="109"/>
      <c r="F111" s="109"/>
      <c r="G111" s="109"/>
      <c r="H111" s="109"/>
      <c r="I111" s="109"/>
      <c r="J111" s="109"/>
      <c r="K111" s="109"/>
      <c r="L111" s="26"/>
      <c r="M111" s="26"/>
      <c r="N111" s="25"/>
      <c r="O111" s="25"/>
      <c r="P111" s="26"/>
      <c r="Q111" s="26"/>
      <c r="R111" s="138"/>
      <c r="S111" s="26"/>
      <c r="T111" s="26"/>
      <c r="U111" s="26"/>
      <c r="V111" s="26"/>
    </row>
    <row r="112" spans="3:22" x14ac:dyDescent="0.2">
      <c r="C112" s="109"/>
      <c r="D112" s="109"/>
      <c r="E112" s="109"/>
      <c r="F112" s="109"/>
      <c r="G112" s="109"/>
      <c r="H112" s="109"/>
      <c r="I112" s="109"/>
      <c r="J112" s="109"/>
      <c r="K112" s="109"/>
      <c r="L112" s="26"/>
      <c r="M112" s="26"/>
      <c r="N112" s="25"/>
      <c r="O112" s="25"/>
      <c r="P112" s="26"/>
      <c r="Q112" s="26"/>
      <c r="R112" s="138"/>
      <c r="S112" s="26"/>
      <c r="T112" s="26"/>
      <c r="U112" s="26"/>
      <c r="V112" s="26"/>
    </row>
    <row r="113" spans="3:22" x14ac:dyDescent="0.2">
      <c r="C113" s="109"/>
      <c r="D113" s="109"/>
      <c r="E113" s="109"/>
      <c r="F113" s="109"/>
      <c r="G113" s="109"/>
      <c r="H113" s="109"/>
      <c r="I113" s="109"/>
      <c r="J113" s="109"/>
      <c r="K113" s="109"/>
      <c r="L113" s="26"/>
      <c r="M113" s="26"/>
      <c r="N113" s="25"/>
      <c r="O113" s="25"/>
      <c r="P113" s="26"/>
      <c r="Q113" s="26"/>
      <c r="R113" s="138"/>
      <c r="S113" s="26"/>
      <c r="T113" s="26"/>
      <c r="U113" s="26"/>
      <c r="V113" s="26"/>
    </row>
    <row r="114" spans="3:22" x14ac:dyDescent="0.2">
      <c r="C114" s="109"/>
      <c r="D114" s="109"/>
      <c r="E114" s="109"/>
      <c r="F114" s="109"/>
      <c r="G114" s="109"/>
      <c r="H114" s="109"/>
      <c r="I114" s="109"/>
      <c r="J114" s="109"/>
      <c r="K114" s="109"/>
      <c r="L114" s="26"/>
      <c r="M114" s="26"/>
      <c r="N114" s="25"/>
      <c r="O114" s="25"/>
      <c r="P114" s="26"/>
      <c r="Q114" s="26"/>
      <c r="R114" s="138"/>
      <c r="S114" s="26"/>
      <c r="T114" s="26"/>
      <c r="U114" s="26"/>
      <c r="V114" s="26"/>
    </row>
    <row r="115" spans="3:22" x14ac:dyDescent="0.2">
      <c r="C115" s="109"/>
      <c r="D115" s="109"/>
      <c r="E115" s="109"/>
      <c r="F115" s="109"/>
      <c r="G115" s="109"/>
      <c r="H115" s="109"/>
      <c r="I115" s="109"/>
      <c r="J115" s="109"/>
      <c r="K115" s="109"/>
      <c r="L115" s="26"/>
      <c r="M115" s="26"/>
      <c r="N115" s="25"/>
      <c r="O115" s="25"/>
      <c r="P115" s="26"/>
      <c r="Q115" s="26"/>
      <c r="R115" s="138"/>
      <c r="S115" s="26"/>
      <c r="T115" s="26"/>
      <c r="U115" s="26"/>
      <c r="V115" s="26"/>
    </row>
    <row r="116" spans="3:22" x14ac:dyDescent="0.2">
      <c r="C116" s="109"/>
      <c r="D116" s="109"/>
      <c r="E116" s="109"/>
      <c r="F116" s="109"/>
      <c r="G116" s="109"/>
      <c r="H116" s="109"/>
      <c r="I116" s="109"/>
      <c r="J116" s="109"/>
      <c r="K116" s="109"/>
      <c r="L116" s="26"/>
      <c r="M116" s="26"/>
      <c r="N116" s="25"/>
      <c r="O116" s="25"/>
      <c r="P116" s="26"/>
      <c r="Q116" s="26"/>
      <c r="R116" s="138"/>
      <c r="S116" s="26"/>
      <c r="T116" s="26"/>
      <c r="U116" s="26"/>
      <c r="V116" s="26"/>
    </row>
    <row r="117" spans="3:22" x14ac:dyDescent="0.2">
      <c r="C117" s="109"/>
      <c r="D117" s="109"/>
      <c r="E117" s="109"/>
      <c r="F117" s="109"/>
      <c r="G117" s="109"/>
      <c r="H117" s="109"/>
      <c r="I117" s="109"/>
      <c r="J117" s="109"/>
      <c r="K117" s="109"/>
      <c r="L117" s="26"/>
      <c r="M117" s="26"/>
      <c r="N117" s="25"/>
      <c r="O117" s="25"/>
      <c r="P117" s="26"/>
      <c r="Q117" s="26"/>
      <c r="R117" s="138"/>
      <c r="S117" s="26"/>
      <c r="T117" s="26"/>
      <c r="U117" s="26"/>
      <c r="V117" s="26"/>
    </row>
    <row r="118" spans="3:22" x14ac:dyDescent="0.2">
      <c r="C118" s="109"/>
      <c r="D118" s="109"/>
      <c r="E118" s="109"/>
      <c r="F118" s="109"/>
      <c r="G118" s="109"/>
      <c r="H118" s="109"/>
      <c r="I118" s="109"/>
      <c r="J118" s="109"/>
      <c r="K118" s="109"/>
      <c r="L118" s="26"/>
      <c r="M118" s="26"/>
      <c r="N118" s="25"/>
      <c r="O118" s="25"/>
      <c r="P118" s="26"/>
      <c r="Q118" s="26"/>
      <c r="R118" s="138"/>
      <c r="S118" s="26"/>
      <c r="T118" s="26"/>
      <c r="U118" s="26"/>
      <c r="V118" s="26"/>
    </row>
    <row r="119" spans="3:22" x14ac:dyDescent="0.2">
      <c r="C119" s="109"/>
      <c r="D119" s="109"/>
      <c r="E119" s="109"/>
      <c r="F119" s="109"/>
      <c r="G119" s="109"/>
      <c r="H119" s="109"/>
      <c r="I119" s="109"/>
      <c r="J119" s="109"/>
      <c r="K119" s="109"/>
      <c r="L119" s="26"/>
      <c r="M119" s="26"/>
      <c r="N119" s="25"/>
      <c r="O119" s="25"/>
      <c r="P119" s="26"/>
      <c r="Q119" s="26"/>
      <c r="R119" s="138"/>
      <c r="S119" s="26"/>
      <c r="T119" s="26"/>
      <c r="U119" s="26"/>
      <c r="V119" s="26"/>
    </row>
    <row r="120" spans="3:22" x14ac:dyDescent="0.2">
      <c r="C120" s="109"/>
      <c r="D120" s="109"/>
      <c r="E120" s="109"/>
      <c r="F120" s="109"/>
      <c r="G120" s="109"/>
      <c r="H120" s="109"/>
      <c r="I120" s="109"/>
      <c r="J120" s="109"/>
      <c r="K120" s="109"/>
      <c r="L120" s="26"/>
      <c r="M120" s="26"/>
      <c r="N120" s="25"/>
      <c r="O120" s="25"/>
      <c r="P120" s="26"/>
      <c r="Q120" s="26"/>
      <c r="R120" s="138"/>
      <c r="S120" s="26"/>
      <c r="T120" s="26"/>
      <c r="U120" s="26"/>
      <c r="V120" s="26"/>
    </row>
    <row r="121" spans="3:22" x14ac:dyDescent="0.2">
      <c r="C121" s="109"/>
      <c r="D121" s="109"/>
      <c r="E121" s="109"/>
      <c r="F121" s="109"/>
      <c r="G121" s="109"/>
      <c r="H121" s="109"/>
      <c r="I121" s="109"/>
      <c r="J121" s="109"/>
      <c r="K121" s="109"/>
      <c r="L121" s="26"/>
      <c r="M121" s="26"/>
      <c r="N121" s="25"/>
      <c r="O121" s="25"/>
      <c r="P121" s="26"/>
      <c r="Q121" s="26"/>
      <c r="R121" s="138"/>
      <c r="S121" s="26"/>
      <c r="T121" s="26"/>
      <c r="U121" s="26"/>
      <c r="V121" s="26"/>
    </row>
    <row r="122" spans="3:22" x14ac:dyDescent="0.2">
      <c r="C122" s="109"/>
      <c r="D122" s="109"/>
      <c r="E122" s="109"/>
      <c r="F122" s="109"/>
      <c r="G122" s="109"/>
      <c r="H122" s="109"/>
      <c r="I122" s="109"/>
      <c r="J122" s="109"/>
      <c r="K122" s="109"/>
      <c r="L122" s="26"/>
      <c r="M122" s="26"/>
      <c r="N122" s="25"/>
      <c r="O122" s="25"/>
      <c r="P122" s="26"/>
      <c r="Q122" s="26"/>
      <c r="R122" s="138"/>
      <c r="S122" s="26"/>
      <c r="T122" s="26"/>
      <c r="U122" s="26"/>
      <c r="V122" s="26"/>
    </row>
    <row r="123" spans="3:22" x14ac:dyDescent="0.2">
      <c r="C123" s="109"/>
      <c r="D123" s="109"/>
      <c r="E123" s="109"/>
      <c r="F123" s="109"/>
      <c r="G123" s="109"/>
      <c r="H123" s="109"/>
      <c r="I123" s="109"/>
      <c r="J123" s="109"/>
      <c r="K123" s="109"/>
      <c r="L123" s="26"/>
      <c r="M123" s="26"/>
      <c r="N123" s="25"/>
      <c r="O123" s="25"/>
      <c r="P123" s="26"/>
      <c r="Q123" s="26"/>
      <c r="R123" s="138"/>
      <c r="S123" s="26"/>
      <c r="T123" s="26"/>
      <c r="U123" s="26"/>
      <c r="V123" s="26"/>
    </row>
    <row r="124" spans="3:22" x14ac:dyDescent="0.2">
      <c r="C124" s="109"/>
      <c r="D124" s="109"/>
      <c r="E124" s="109"/>
      <c r="F124" s="109"/>
      <c r="G124" s="109"/>
      <c r="H124" s="109"/>
      <c r="I124" s="109"/>
      <c r="J124" s="109"/>
      <c r="K124" s="109"/>
      <c r="L124" s="26"/>
      <c r="M124" s="26"/>
      <c r="N124" s="25"/>
      <c r="O124" s="25"/>
      <c r="P124" s="26"/>
      <c r="Q124" s="26"/>
      <c r="R124" s="138"/>
      <c r="S124" s="26"/>
      <c r="T124" s="26"/>
      <c r="U124" s="26"/>
      <c r="V124" s="26"/>
    </row>
    <row r="125" spans="3:22" x14ac:dyDescent="0.2">
      <c r="C125" s="109"/>
      <c r="D125" s="109"/>
      <c r="E125" s="109"/>
      <c r="F125" s="109"/>
      <c r="G125" s="109"/>
      <c r="H125" s="109"/>
      <c r="I125" s="109"/>
      <c r="J125" s="109"/>
      <c r="K125" s="109"/>
      <c r="L125" s="26"/>
      <c r="M125" s="26"/>
      <c r="N125" s="25"/>
      <c r="O125" s="25"/>
      <c r="P125" s="26"/>
      <c r="Q125" s="26"/>
      <c r="R125" s="138"/>
      <c r="S125" s="26"/>
      <c r="T125" s="26"/>
      <c r="U125" s="26"/>
      <c r="V125" s="26"/>
    </row>
    <row r="126" spans="3:22" x14ac:dyDescent="0.2">
      <c r="C126" s="109"/>
      <c r="D126" s="109"/>
      <c r="E126" s="109"/>
      <c r="F126" s="109"/>
      <c r="G126" s="109"/>
      <c r="H126" s="109"/>
      <c r="I126" s="109"/>
      <c r="J126" s="109"/>
      <c r="K126" s="109"/>
      <c r="L126" s="26"/>
      <c r="M126" s="26"/>
      <c r="N126" s="25"/>
      <c r="O126" s="25"/>
      <c r="P126" s="26"/>
      <c r="Q126" s="26"/>
      <c r="R126" s="138"/>
      <c r="S126" s="26"/>
      <c r="T126" s="26"/>
      <c r="U126" s="26"/>
      <c r="V126" s="26"/>
    </row>
    <row r="127" spans="3:22" x14ac:dyDescent="0.2">
      <c r="C127" s="109"/>
      <c r="D127" s="109"/>
      <c r="E127" s="109"/>
      <c r="F127" s="109"/>
      <c r="G127" s="109"/>
      <c r="H127" s="109"/>
      <c r="I127" s="109"/>
      <c r="J127" s="109"/>
      <c r="K127" s="109"/>
      <c r="L127" s="26"/>
      <c r="M127" s="26"/>
      <c r="N127" s="25"/>
      <c r="O127" s="25"/>
      <c r="P127" s="26"/>
      <c r="Q127" s="26"/>
      <c r="R127" s="138"/>
      <c r="S127" s="26"/>
      <c r="T127" s="26"/>
      <c r="U127" s="26"/>
      <c r="V127" s="26"/>
    </row>
    <row r="128" spans="3:22" x14ac:dyDescent="0.2">
      <c r="C128" s="109"/>
      <c r="D128" s="109"/>
      <c r="E128" s="109"/>
      <c r="F128" s="109"/>
      <c r="G128" s="109"/>
      <c r="H128" s="109"/>
      <c r="I128" s="109"/>
      <c r="J128" s="109"/>
      <c r="K128" s="109"/>
      <c r="L128" s="26"/>
      <c r="M128" s="26"/>
      <c r="N128" s="25"/>
      <c r="O128" s="25"/>
      <c r="P128" s="26"/>
      <c r="Q128" s="26"/>
      <c r="R128" s="138"/>
      <c r="S128" s="26"/>
      <c r="T128" s="26"/>
      <c r="U128" s="26"/>
      <c r="V128" s="26"/>
    </row>
    <row r="129" spans="3:22" x14ac:dyDescent="0.2">
      <c r="C129" s="109"/>
      <c r="D129" s="109"/>
      <c r="E129" s="109"/>
      <c r="F129" s="109"/>
      <c r="G129" s="109"/>
      <c r="H129" s="109"/>
      <c r="I129" s="109"/>
      <c r="J129" s="109"/>
      <c r="K129" s="109"/>
      <c r="L129" s="26"/>
      <c r="M129" s="26"/>
      <c r="N129" s="25"/>
      <c r="O129" s="25"/>
      <c r="P129" s="26"/>
      <c r="Q129" s="26"/>
      <c r="R129" s="138"/>
      <c r="S129" s="26"/>
      <c r="T129" s="26"/>
      <c r="U129" s="26"/>
      <c r="V129" s="26"/>
    </row>
    <row r="130" spans="3:22" x14ac:dyDescent="0.2">
      <c r="C130" s="109"/>
      <c r="D130" s="109"/>
      <c r="E130" s="109"/>
      <c r="F130" s="109"/>
      <c r="G130" s="109"/>
      <c r="H130" s="109"/>
      <c r="I130" s="109"/>
      <c r="J130" s="109"/>
      <c r="K130" s="109"/>
      <c r="L130" s="26"/>
      <c r="M130" s="26"/>
      <c r="N130" s="25"/>
      <c r="O130" s="25"/>
      <c r="P130" s="26"/>
      <c r="Q130" s="26"/>
      <c r="R130" s="138"/>
      <c r="S130" s="26"/>
      <c r="T130" s="26"/>
      <c r="U130" s="26"/>
      <c r="V130" s="26"/>
    </row>
    <row r="131" spans="3:22" x14ac:dyDescent="0.2">
      <c r="C131" s="109"/>
      <c r="D131" s="109"/>
      <c r="E131" s="109"/>
      <c r="F131" s="109"/>
      <c r="G131" s="109"/>
      <c r="H131" s="109"/>
      <c r="I131" s="109"/>
      <c r="J131" s="109"/>
      <c r="K131" s="109"/>
      <c r="L131" s="26"/>
      <c r="M131" s="26"/>
      <c r="N131" s="25"/>
      <c r="O131" s="25"/>
      <c r="P131" s="26"/>
      <c r="Q131" s="26"/>
      <c r="R131" s="138"/>
      <c r="S131" s="26"/>
      <c r="T131" s="26"/>
      <c r="U131" s="26"/>
      <c r="V131" s="26"/>
    </row>
    <row r="132" spans="3:22" x14ac:dyDescent="0.2">
      <c r="C132" s="109"/>
      <c r="D132" s="109"/>
      <c r="E132" s="109"/>
      <c r="F132" s="109"/>
      <c r="G132" s="109"/>
      <c r="H132" s="109"/>
      <c r="I132" s="109"/>
      <c r="J132" s="109"/>
      <c r="K132" s="109"/>
      <c r="L132" s="26"/>
      <c r="M132" s="26"/>
      <c r="N132" s="25"/>
      <c r="O132" s="25"/>
      <c r="P132" s="26"/>
      <c r="Q132" s="26"/>
      <c r="R132" s="138"/>
      <c r="S132" s="26"/>
      <c r="T132" s="26"/>
      <c r="U132" s="26"/>
      <c r="V132" s="26"/>
    </row>
    <row r="133" spans="3:22" x14ac:dyDescent="0.2">
      <c r="C133" s="109"/>
      <c r="D133" s="109"/>
      <c r="E133" s="109"/>
      <c r="F133" s="109"/>
      <c r="G133" s="109"/>
      <c r="H133" s="109"/>
      <c r="I133" s="109"/>
      <c r="J133" s="109"/>
      <c r="K133" s="109"/>
      <c r="L133" s="26"/>
      <c r="M133" s="26"/>
      <c r="N133" s="25"/>
      <c r="O133" s="25"/>
      <c r="P133" s="26"/>
      <c r="Q133" s="26"/>
      <c r="R133" s="138"/>
      <c r="S133" s="26"/>
      <c r="T133" s="26"/>
      <c r="U133" s="26"/>
      <c r="V133" s="26"/>
    </row>
    <row r="134" spans="3:22" x14ac:dyDescent="0.2">
      <c r="C134" s="109"/>
      <c r="D134" s="109"/>
      <c r="E134" s="109"/>
      <c r="F134" s="109"/>
      <c r="G134" s="109"/>
      <c r="H134" s="109"/>
      <c r="I134" s="109"/>
      <c r="J134" s="109"/>
      <c r="K134" s="109"/>
      <c r="L134" s="26"/>
      <c r="M134" s="26"/>
      <c r="N134" s="25"/>
      <c r="O134" s="25"/>
      <c r="P134" s="26"/>
      <c r="Q134" s="26"/>
      <c r="R134" s="138"/>
      <c r="S134" s="26"/>
      <c r="T134" s="26"/>
      <c r="U134" s="26"/>
      <c r="V134" s="26"/>
    </row>
    <row r="135" spans="3:22" x14ac:dyDescent="0.2">
      <c r="C135" s="109"/>
      <c r="D135" s="109"/>
      <c r="E135" s="109"/>
      <c r="F135" s="109"/>
      <c r="G135" s="109"/>
      <c r="H135" s="109"/>
      <c r="I135" s="109"/>
      <c r="J135" s="109"/>
      <c r="K135" s="109"/>
      <c r="L135" s="26"/>
      <c r="M135" s="26"/>
      <c r="N135" s="25"/>
      <c r="O135" s="25"/>
      <c r="P135" s="26"/>
      <c r="Q135" s="26"/>
      <c r="R135" s="138"/>
      <c r="S135" s="26"/>
      <c r="T135" s="26"/>
      <c r="U135" s="26"/>
      <c r="V135" s="26"/>
    </row>
    <row r="136" spans="3:22" x14ac:dyDescent="0.2">
      <c r="C136" s="109"/>
      <c r="D136" s="109"/>
      <c r="E136" s="109"/>
      <c r="F136" s="109"/>
      <c r="G136" s="109"/>
      <c r="H136" s="109"/>
      <c r="I136" s="109"/>
      <c r="J136" s="109"/>
      <c r="K136" s="109"/>
      <c r="L136" s="109"/>
      <c r="M136" s="109"/>
      <c r="N136" s="46"/>
      <c r="O136" s="46"/>
      <c r="P136" s="109"/>
      <c r="Q136" s="109"/>
      <c r="R136" s="147"/>
    </row>
    <row r="137" spans="3:22" x14ac:dyDescent="0.2">
      <c r="C137" s="109"/>
      <c r="D137" s="109"/>
      <c r="E137" s="109"/>
      <c r="F137" s="109"/>
      <c r="G137" s="109"/>
      <c r="H137" s="109"/>
      <c r="I137" s="109"/>
      <c r="J137" s="109"/>
      <c r="K137" s="109"/>
      <c r="L137" s="109"/>
      <c r="M137" s="109"/>
      <c r="N137" s="46"/>
      <c r="O137" s="46"/>
      <c r="P137" s="109"/>
      <c r="Q137" s="109"/>
      <c r="R137" s="147"/>
    </row>
    <row r="138" spans="3:22" x14ac:dyDescent="0.2">
      <c r="C138" s="109"/>
      <c r="D138" s="109"/>
      <c r="E138" s="109"/>
      <c r="F138" s="109"/>
      <c r="G138" s="109"/>
      <c r="H138" s="109"/>
      <c r="I138" s="109"/>
      <c r="J138" s="109"/>
      <c r="K138" s="109"/>
      <c r="L138" s="109"/>
      <c r="M138" s="109"/>
      <c r="N138" s="46"/>
      <c r="O138" s="46"/>
      <c r="P138" s="109"/>
      <c r="Q138" s="109"/>
      <c r="R138" s="147"/>
    </row>
    <row r="139" spans="3:22" x14ac:dyDescent="0.2">
      <c r="C139" s="109"/>
      <c r="D139" s="109"/>
      <c r="E139" s="109"/>
      <c r="F139" s="109"/>
      <c r="G139" s="109"/>
      <c r="H139" s="109"/>
      <c r="I139" s="109"/>
      <c r="J139" s="109"/>
      <c r="K139" s="109"/>
      <c r="L139" s="109"/>
      <c r="M139" s="109"/>
      <c r="N139" s="46"/>
      <c r="O139" s="46"/>
      <c r="P139" s="109"/>
      <c r="Q139" s="109"/>
      <c r="R139" s="147"/>
    </row>
    <row r="140" spans="3:22" x14ac:dyDescent="0.2">
      <c r="C140" s="109"/>
      <c r="D140" s="109"/>
      <c r="E140" s="109"/>
      <c r="F140" s="109"/>
      <c r="G140" s="109"/>
      <c r="H140" s="109"/>
      <c r="I140" s="109"/>
      <c r="J140" s="109"/>
      <c r="K140" s="109"/>
      <c r="L140" s="109"/>
      <c r="M140" s="109"/>
      <c r="N140" s="46"/>
      <c r="O140" s="46"/>
      <c r="P140" s="109"/>
      <c r="Q140" s="109"/>
      <c r="R140" s="147"/>
    </row>
    <row r="141" spans="3:22" x14ac:dyDescent="0.2">
      <c r="C141" s="109"/>
      <c r="D141" s="109"/>
      <c r="E141" s="109"/>
      <c r="F141" s="109"/>
      <c r="G141" s="109"/>
      <c r="H141" s="109"/>
      <c r="I141" s="109"/>
      <c r="J141" s="109"/>
      <c r="K141" s="109"/>
      <c r="L141" s="109"/>
      <c r="M141" s="109"/>
      <c r="N141" s="46"/>
      <c r="O141" s="46"/>
      <c r="P141" s="109"/>
      <c r="Q141" s="109"/>
      <c r="R141" s="147"/>
    </row>
    <row r="142" spans="3:22" x14ac:dyDescent="0.2">
      <c r="C142" s="109"/>
      <c r="D142" s="109"/>
      <c r="E142" s="109"/>
      <c r="F142" s="109"/>
      <c r="G142" s="109"/>
      <c r="H142" s="109"/>
      <c r="I142" s="109"/>
      <c r="J142" s="109"/>
      <c r="K142" s="109"/>
      <c r="L142" s="109"/>
      <c r="M142" s="109"/>
      <c r="N142" s="46"/>
      <c r="O142" s="46"/>
      <c r="P142" s="109"/>
      <c r="Q142" s="109"/>
      <c r="R142" s="147"/>
    </row>
    <row r="143" spans="3:22" x14ac:dyDescent="0.2">
      <c r="C143" s="109"/>
      <c r="D143" s="109"/>
      <c r="E143" s="109"/>
      <c r="F143" s="109"/>
      <c r="G143" s="109"/>
      <c r="H143" s="109"/>
      <c r="I143" s="109"/>
      <c r="J143" s="109"/>
      <c r="K143" s="109"/>
      <c r="L143" s="109"/>
      <c r="M143" s="109"/>
      <c r="N143" s="46"/>
      <c r="O143" s="46"/>
      <c r="P143" s="109"/>
      <c r="Q143" s="109"/>
      <c r="R143" s="147"/>
    </row>
    <row r="144" spans="3:22" x14ac:dyDescent="0.2">
      <c r="C144" s="109"/>
      <c r="D144" s="109"/>
      <c r="E144" s="109"/>
      <c r="F144" s="109"/>
      <c r="G144" s="109"/>
      <c r="H144" s="109"/>
      <c r="I144" s="109"/>
      <c r="J144" s="109"/>
      <c r="K144" s="109"/>
      <c r="L144" s="109"/>
      <c r="M144" s="109"/>
      <c r="N144" s="46"/>
      <c r="O144" s="46"/>
      <c r="P144" s="109"/>
      <c r="Q144" s="109"/>
      <c r="R144" s="147"/>
    </row>
    <row r="145" spans="3:18" x14ac:dyDescent="0.2">
      <c r="C145" s="109"/>
      <c r="D145" s="109"/>
      <c r="E145" s="109"/>
      <c r="F145" s="109"/>
      <c r="G145" s="109"/>
      <c r="H145" s="109"/>
      <c r="I145" s="109"/>
      <c r="J145" s="109"/>
      <c r="K145" s="109"/>
      <c r="L145" s="109"/>
      <c r="M145" s="109"/>
      <c r="N145" s="46"/>
      <c r="O145" s="46"/>
      <c r="P145" s="109"/>
      <c r="Q145" s="109"/>
      <c r="R145" s="147"/>
    </row>
    <row r="146" spans="3:18" x14ac:dyDescent="0.2">
      <c r="C146" s="109"/>
      <c r="D146" s="109"/>
      <c r="E146" s="109"/>
      <c r="F146" s="109"/>
      <c r="G146" s="109"/>
      <c r="H146" s="109"/>
      <c r="I146" s="109"/>
      <c r="J146" s="109"/>
      <c r="K146" s="109"/>
      <c r="L146" s="109"/>
      <c r="M146" s="109"/>
      <c r="N146" s="46"/>
      <c r="O146" s="46"/>
      <c r="P146" s="109"/>
      <c r="Q146" s="109"/>
      <c r="R146" s="147"/>
    </row>
    <row r="147" spans="3:18" x14ac:dyDescent="0.2">
      <c r="C147" s="109"/>
      <c r="D147" s="109"/>
      <c r="E147" s="109"/>
      <c r="F147" s="109"/>
      <c r="G147" s="109"/>
      <c r="H147" s="109"/>
      <c r="I147" s="109"/>
      <c r="J147" s="109"/>
      <c r="K147" s="109"/>
      <c r="L147" s="109"/>
      <c r="M147" s="109"/>
      <c r="N147" s="46"/>
      <c r="O147" s="46"/>
      <c r="P147" s="109"/>
      <c r="Q147" s="109"/>
      <c r="R147" s="147"/>
    </row>
    <row r="148" spans="3:18" x14ac:dyDescent="0.2">
      <c r="C148" s="109"/>
      <c r="D148" s="109"/>
      <c r="E148" s="109"/>
      <c r="F148" s="109"/>
      <c r="G148" s="109"/>
      <c r="H148" s="109"/>
      <c r="I148" s="109"/>
      <c r="J148" s="109"/>
      <c r="K148" s="109"/>
      <c r="L148" s="109"/>
      <c r="M148" s="109"/>
      <c r="N148" s="46"/>
      <c r="O148" s="46"/>
      <c r="P148" s="109"/>
      <c r="Q148" s="109"/>
      <c r="R148" s="147"/>
    </row>
    <row r="149" spans="3:18" x14ac:dyDescent="0.2">
      <c r="C149" s="109"/>
      <c r="D149" s="109"/>
      <c r="E149" s="109"/>
      <c r="F149" s="109"/>
      <c r="G149" s="109"/>
      <c r="H149" s="109"/>
      <c r="I149" s="109"/>
      <c r="J149" s="109"/>
      <c r="K149" s="109"/>
      <c r="L149" s="109"/>
      <c r="M149" s="109"/>
      <c r="N149" s="46"/>
      <c r="O149" s="46"/>
      <c r="P149" s="109"/>
      <c r="Q149" s="109"/>
      <c r="R149" s="147"/>
    </row>
    <row r="150" spans="3:18" x14ac:dyDescent="0.2">
      <c r="C150" s="109"/>
      <c r="D150" s="109"/>
      <c r="E150" s="109"/>
      <c r="F150" s="109"/>
      <c r="G150" s="109"/>
      <c r="H150" s="109"/>
      <c r="I150" s="109"/>
      <c r="J150" s="109"/>
      <c r="K150" s="109"/>
      <c r="L150" s="109"/>
      <c r="M150" s="109"/>
      <c r="N150" s="46"/>
      <c r="O150" s="46"/>
      <c r="P150" s="109"/>
      <c r="Q150" s="109"/>
      <c r="R150" s="147"/>
    </row>
    <row r="151" spans="3:18" x14ac:dyDescent="0.2">
      <c r="C151" s="109"/>
      <c r="D151" s="109"/>
      <c r="E151" s="109"/>
      <c r="F151" s="109"/>
      <c r="G151" s="109"/>
      <c r="H151" s="109"/>
      <c r="I151" s="109"/>
      <c r="J151" s="109"/>
      <c r="K151" s="109"/>
      <c r="L151" s="109"/>
      <c r="M151" s="109"/>
      <c r="N151" s="46"/>
      <c r="O151" s="46"/>
      <c r="P151" s="109"/>
      <c r="Q151" s="109"/>
      <c r="R151" s="147"/>
    </row>
    <row r="152" spans="3:18" x14ac:dyDescent="0.2">
      <c r="C152" s="109"/>
      <c r="D152" s="109"/>
      <c r="E152" s="109"/>
      <c r="F152" s="109"/>
      <c r="G152" s="109"/>
      <c r="H152" s="109"/>
      <c r="I152" s="109"/>
      <c r="J152" s="109"/>
      <c r="K152" s="109"/>
      <c r="L152" s="109"/>
      <c r="M152" s="109"/>
      <c r="N152" s="46"/>
      <c r="O152" s="46"/>
      <c r="P152" s="109"/>
      <c r="Q152" s="109"/>
      <c r="R152" s="147"/>
    </row>
    <row r="153" spans="3:18" x14ac:dyDescent="0.2">
      <c r="C153" s="109"/>
      <c r="D153" s="109"/>
      <c r="E153" s="109"/>
      <c r="F153" s="109"/>
      <c r="G153" s="109"/>
      <c r="H153" s="109"/>
      <c r="I153" s="109"/>
      <c r="J153" s="109"/>
      <c r="K153" s="109"/>
      <c r="L153" s="109"/>
      <c r="M153" s="109"/>
      <c r="N153" s="46"/>
      <c r="O153" s="46"/>
      <c r="P153" s="109"/>
      <c r="Q153" s="109"/>
      <c r="R153" s="147"/>
    </row>
    <row r="154" spans="3:18" x14ac:dyDescent="0.2">
      <c r="C154" s="109"/>
      <c r="D154" s="109"/>
      <c r="E154" s="109"/>
      <c r="F154" s="109"/>
      <c r="G154" s="109"/>
      <c r="H154" s="109"/>
      <c r="I154" s="109"/>
      <c r="J154" s="109"/>
      <c r="K154" s="109"/>
      <c r="L154" s="109"/>
      <c r="M154" s="109"/>
      <c r="N154" s="46"/>
      <c r="O154" s="46"/>
      <c r="P154" s="109"/>
      <c r="Q154" s="109"/>
      <c r="R154" s="147"/>
    </row>
    <row r="155" spans="3:18" x14ac:dyDescent="0.2">
      <c r="C155" s="109"/>
      <c r="D155" s="109"/>
      <c r="E155" s="109"/>
      <c r="F155" s="109"/>
      <c r="G155" s="109"/>
      <c r="H155" s="109"/>
      <c r="I155" s="109"/>
      <c r="J155" s="109"/>
      <c r="K155" s="109"/>
      <c r="L155" s="109"/>
      <c r="M155" s="109"/>
      <c r="N155" s="46"/>
      <c r="O155" s="46"/>
      <c r="P155" s="109"/>
      <c r="Q155" s="109"/>
      <c r="R155" s="147"/>
    </row>
    <row r="156" spans="3:18" x14ac:dyDescent="0.2">
      <c r="C156" s="109"/>
      <c r="D156" s="109"/>
      <c r="E156" s="109"/>
      <c r="F156" s="109"/>
      <c r="G156" s="109"/>
      <c r="H156" s="109"/>
      <c r="I156" s="109"/>
      <c r="J156" s="109"/>
      <c r="K156" s="109"/>
      <c r="L156" s="109"/>
      <c r="M156" s="109"/>
      <c r="N156" s="46"/>
      <c r="O156" s="46"/>
      <c r="P156" s="109"/>
      <c r="Q156" s="109"/>
      <c r="R156" s="147"/>
    </row>
    <row r="157" spans="3:18" x14ac:dyDescent="0.2">
      <c r="C157" s="109"/>
      <c r="D157" s="109"/>
      <c r="E157" s="109"/>
      <c r="F157" s="109"/>
      <c r="G157" s="109"/>
      <c r="H157" s="109"/>
      <c r="I157" s="109"/>
      <c r="J157" s="109"/>
      <c r="K157" s="109"/>
      <c r="L157" s="109"/>
      <c r="M157" s="109"/>
      <c r="N157" s="46"/>
      <c r="O157" s="46"/>
      <c r="P157" s="109"/>
      <c r="Q157" s="109"/>
      <c r="R157" s="147"/>
    </row>
    <row r="158" spans="3:18" x14ac:dyDescent="0.2">
      <c r="C158" s="109"/>
      <c r="D158" s="109"/>
      <c r="E158" s="109"/>
      <c r="F158" s="109"/>
      <c r="G158" s="109"/>
      <c r="H158" s="109"/>
      <c r="I158" s="109"/>
      <c r="J158" s="109"/>
      <c r="K158" s="109"/>
      <c r="L158" s="109"/>
      <c r="M158" s="109"/>
      <c r="N158" s="46"/>
      <c r="O158" s="46"/>
      <c r="P158" s="109"/>
      <c r="Q158" s="109"/>
      <c r="R158" s="147"/>
    </row>
    <row r="159" spans="3:18" x14ac:dyDescent="0.2">
      <c r="C159" s="109"/>
      <c r="D159" s="109"/>
      <c r="E159" s="109"/>
      <c r="F159" s="109"/>
      <c r="G159" s="109"/>
      <c r="H159" s="109"/>
      <c r="I159" s="109"/>
      <c r="J159" s="109"/>
      <c r="K159" s="109"/>
      <c r="L159" s="109"/>
      <c r="M159" s="109"/>
      <c r="N159" s="46"/>
      <c r="O159" s="46"/>
      <c r="P159" s="109"/>
      <c r="Q159" s="109"/>
      <c r="R159" s="147"/>
    </row>
    <row r="160" spans="3:18" x14ac:dyDescent="0.2">
      <c r="C160" s="109"/>
      <c r="D160" s="109"/>
      <c r="E160" s="109"/>
      <c r="F160" s="109"/>
      <c r="G160" s="109"/>
      <c r="H160" s="109"/>
      <c r="I160" s="109"/>
      <c r="J160" s="109"/>
      <c r="K160" s="109"/>
      <c r="L160" s="109"/>
      <c r="M160" s="109"/>
      <c r="N160" s="46"/>
      <c r="O160" s="46"/>
      <c r="P160" s="109"/>
      <c r="Q160" s="109"/>
      <c r="R160" s="147"/>
    </row>
    <row r="161" spans="3:18" x14ac:dyDescent="0.2">
      <c r="C161" s="109"/>
      <c r="D161" s="109"/>
      <c r="E161" s="109"/>
      <c r="F161" s="109"/>
      <c r="G161" s="109"/>
      <c r="H161" s="109"/>
      <c r="I161" s="109"/>
      <c r="J161" s="109"/>
      <c r="K161" s="109"/>
      <c r="L161" s="109"/>
      <c r="M161" s="109"/>
      <c r="N161" s="46"/>
      <c r="O161" s="46"/>
      <c r="P161" s="109"/>
      <c r="Q161" s="109"/>
      <c r="R161" s="147"/>
    </row>
    <row r="162" spans="3:18" x14ac:dyDescent="0.2">
      <c r="C162" s="109"/>
      <c r="D162" s="109"/>
      <c r="E162" s="109"/>
      <c r="F162" s="109"/>
      <c r="G162" s="109"/>
      <c r="H162" s="109"/>
      <c r="I162" s="109"/>
      <c r="J162" s="109"/>
      <c r="K162" s="109"/>
      <c r="L162" s="109"/>
      <c r="M162" s="109"/>
      <c r="N162" s="46"/>
      <c r="O162" s="46"/>
      <c r="P162" s="109"/>
      <c r="Q162" s="109"/>
      <c r="R162" s="147"/>
    </row>
    <row r="163" spans="3:18" x14ac:dyDescent="0.2">
      <c r="C163" s="109"/>
      <c r="D163" s="109"/>
      <c r="E163" s="109"/>
      <c r="F163" s="109"/>
      <c r="G163" s="109"/>
      <c r="H163" s="109"/>
      <c r="I163" s="109"/>
      <c r="J163" s="109"/>
      <c r="K163" s="109"/>
      <c r="L163" s="109"/>
      <c r="M163" s="109"/>
      <c r="N163" s="46"/>
      <c r="O163" s="46"/>
      <c r="P163" s="109"/>
      <c r="Q163" s="109"/>
      <c r="R163" s="147"/>
    </row>
    <row r="164" spans="3:18" x14ac:dyDescent="0.2">
      <c r="C164" s="109"/>
      <c r="D164" s="109"/>
      <c r="E164" s="109"/>
      <c r="F164" s="109"/>
      <c r="G164" s="109"/>
      <c r="H164" s="109"/>
      <c r="I164" s="109"/>
      <c r="J164" s="109"/>
      <c r="K164" s="109"/>
      <c r="L164" s="109"/>
      <c r="M164" s="109"/>
      <c r="N164" s="46"/>
      <c r="O164" s="46"/>
      <c r="P164" s="109"/>
      <c r="Q164" s="109"/>
      <c r="R164" s="147"/>
    </row>
    <row r="165" spans="3:18" x14ac:dyDescent="0.2">
      <c r="C165" s="109"/>
      <c r="D165" s="109"/>
      <c r="E165" s="109"/>
      <c r="F165" s="109"/>
      <c r="G165" s="109"/>
      <c r="H165" s="109"/>
      <c r="I165" s="109"/>
      <c r="J165" s="109"/>
      <c r="K165" s="109"/>
      <c r="L165" s="109"/>
      <c r="M165" s="109"/>
      <c r="N165" s="46"/>
      <c r="O165" s="46"/>
      <c r="P165" s="109"/>
      <c r="Q165" s="109"/>
      <c r="R165" s="147"/>
    </row>
    <row r="166" spans="3:18" x14ac:dyDescent="0.2">
      <c r="C166" s="109"/>
      <c r="D166" s="109"/>
      <c r="E166" s="109"/>
      <c r="F166" s="109"/>
      <c r="G166" s="109"/>
      <c r="H166" s="109"/>
      <c r="I166" s="109"/>
      <c r="J166" s="109"/>
      <c r="K166" s="109"/>
      <c r="L166" s="109"/>
      <c r="M166" s="109"/>
      <c r="N166" s="46"/>
      <c r="O166" s="46"/>
      <c r="P166" s="109"/>
      <c r="Q166" s="109"/>
      <c r="R166" s="147"/>
    </row>
    <row r="167" spans="3:18" x14ac:dyDescent="0.2">
      <c r="C167" s="109"/>
      <c r="D167" s="109"/>
      <c r="E167" s="109"/>
      <c r="F167" s="109"/>
      <c r="G167" s="109"/>
      <c r="H167" s="109"/>
      <c r="I167" s="109"/>
      <c r="J167" s="109"/>
      <c r="K167" s="109"/>
      <c r="L167" s="109"/>
      <c r="M167" s="109"/>
      <c r="N167" s="46"/>
      <c r="O167" s="46"/>
      <c r="P167" s="109"/>
      <c r="Q167" s="109"/>
      <c r="R167" s="147"/>
    </row>
    <row r="168" spans="3:18" x14ac:dyDescent="0.2">
      <c r="C168" s="109"/>
      <c r="D168" s="109"/>
      <c r="E168" s="109"/>
      <c r="F168" s="109"/>
      <c r="G168" s="109"/>
      <c r="H168" s="109"/>
      <c r="I168" s="109"/>
      <c r="J168" s="109"/>
      <c r="K168" s="109"/>
      <c r="L168" s="109"/>
      <c r="M168" s="109"/>
      <c r="N168" s="46"/>
      <c r="O168" s="46"/>
      <c r="P168" s="109"/>
      <c r="Q168" s="109"/>
      <c r="R168" s="147"/>
    </row>
    <row r="169" spans="3:18" x14ac:dyDescent="0.2">
      <c r="C169" s="109"/>
      <c r="D169" s="109"/>
      <c r="E169" s="109"/>
      <c r="F169" s="109"/>
      <c r="G169" s="109"/>
      <c r="H169" s="109"/>
      <c r="I169" s="109"/>
      <c r="J169" s="109"/>
      <c r="K169" s="109"/>
      <c r="L169" s="109"/>
      <c r="M169" s="109"/>
      <c r="N169" s="46"/>
      <c r="O169" s="46"/>
      <c r="P169" s="109"/>
      <c r="Q169" s="109"/>
      <c r="R169" s="147"/>
    </row>
    <row r="170" spans="3:18" x14ac:dyDescent="0.2">
      <c r="C170" s="109"/>
      <c r="D170" s="109"/>
      <c r="E170" s="109"/>
      <c r="F170" s="109"/>
      <c r="G170" s="109"/>
      <c r="H170" s="109"/>
      <c r="I170" s="109"/>
      <c r="J170" s="109"/>
      <c r="K170" s="109"/>
      <c r="L170" s="109"/>
      <c r="M170" s="109"/>
      <c r="N170" s="46"/>
      <c r="O170" s="46"/>
      <c r="P170" s="109"/>
      <c r="Q170" s="109"/>
      <c r="R170" s="147"/>
    </row>
    <row r="171" spans="3:18" x14ac:dyDescent="0.2">
      <c r="C171" s="109"/>
      <c r="D171" s="109"/>
      <c r="E171" s="109"/>
      <c r="F171" s="109"/>
      <c r="G171" s="109"/>
      <c r="H171" s="109"/>
      <c r="I171" s="109"/>
      <c r="J171" s="109"/>
      <c r="K171" s="109"/>
      <c r="L171" s="109"/>
      <c r="M171" s="109"/>
      <c r="N171" s="46"/>
      <c r="O171" s="46"/>
      <c r="P171" s="109"/>
      <c r="Q171" s="109"/>
      <c r="R171" s="147"/>
    </row>
    <row r="172" spans="3:18" x14ac:dyDescent="0.2">
      <c r="C172" s="109"/>
      <c r="D172" s="109"/>
      <c r="E172" s="109"/>
      <c r="F172" s="109"/>
      <c r="G172" s="109"/>
      <c r="H172" s="109"/>
      <c r="I172" s="109"/>
      <c r="J172" s="109"/>
      <c r="K172" s="109"/>
      <c r="L172" s="109"/>
      <c r="M172" s="109"/>
      <c r="N172" s="46"/>
      <c r="O172" s="46"/>
      <c r="P172" s="109"/>
      <c r="Q172" s="109"/>
      <c r="R172" s="147"/>
    </row>
    <row r="173" spans="3:18" x14ac:dyDescent="0.2">
      <c r="C173" s="109"/>
      <c r="D173" s="109"/>
      <c r="E173" s="109"/>
      <c r="F173" s="109"/>
      <c r="G173" s="109"/>
      <c r="H173" s="109"/>
      <c r="I173" s="109"/>
      <c r="J173" s="109"/>
      <c r="K173" s="109"/>
      <c r="L173" s="109"/>
      <c r="M173" s="109"/>
      <c r="N173" s="46"/>
      <c r="O173" s="46"/>
      <c r="P173" s="109"/>
      <c r="Q173" s="109"/>
      <c r="R173" s="147"/>
    </row>
    <row r="174" spans="3:18" x14ac:dyDescent="0.2">
      <c r="C174" s="109"/>
      <c r="D174" s="109"/>
      <c r="E174" s="109"/>
      <c r="F174" s="109"/>
      <c r="G174" s="109"/>
      <c r="H174" s="109"/>
      <c r="I174" s="109"/>
      <c r="J174" s="109"/>
      <c r="K174" s="109"/>
      <c r="L174" s="109"/>
      <c r="M174" s="109"/>
      <c r="N174" s="46"/>
      <c r="O174" s="46"/>
      <c r="P174" s="109"/>
      <c r="Q174" s="109"/>
      <c r="R174" s="147"/>
    </row>
    <row r="175" spans="3:18" x14ac:dyDescent="0.2">
      <c r="C175" s="109"/>
      <c r="D175" s="109"/>
      <c r="E175" s="109"/>
      <c r="F175" s="109"/>
      <c r="G175" s="109"/>
      <c r="H175" s="109"/>
      <c r="I175" s="109"/>
      <c r="J175" s="109"/>
      <c r="K175" s="109"/>
      <c r="L175" s="109"/>
      <c r="M175" s="109"/>
      <c r="N175" s="46"/>
      <c r="O175" s="46"/>
      <c r="P175" s="109"/>
      <c r="Q175" s="109"/>
      <c r="R175" s="147"/>
    </row>
    <row r="176" spans="3:18" x14ac:dyDescent="0.2">
      <c r="C176" s="109"/>
      <c r="D176" s="109"/>
      <c r="E176" s="109"/>
      <c r="F176" s="109"/>
      <c r="G176" s="109"/>
      <c r="H176" s="109"/>
      <c r="I176" s="109"/>
      <c r="J176" s="109"/>
      <c r="K176" s="109"/>
      <c r="L176" s="109"/>
      <c r="M176" s="109"/>
      <c r="N176" s="46"/>
      <c r="O176" s="46"/>
      <c r="P176" s="109"/>
      <c r="Q176" s="109"/>
      <c r="R176" s="147"/>
    </row>
    <row r="177" spans="3:18" x14ac:dyDescent="0.2">
      <c r="C177" s="109"/>
      <c r="D177" s="109"/>
      <c r="E177" s="109"/>
      <c r="F177" s="109"/>
      <c r="G177" s="109"/>
      <c r="H177" s="109"/>
      <c r="I177" s="109"/>
      <c r="J177" s="109"/>
      <c r="K177" s="109"/>
      <c r="L177" s="109"/>
      <c r="M177" s="109"/>
      <c r="N177" s="46"/>
      <c r="O177" s="46"/>
      <c r="P177" s="109"/>
      <c r="Q177" s="109"/>
      <c r="R177" s="147"/>
    </row>
    <row r="178" spans="3:18" x14ac:dyDescent="0.2">
      <c r="C178" s="109"/>
      <c r="D178" s="109"/>
      <c r="E178" s="109"/>
      <c r="F178" s="109"/>
      <c r="G178" s="109"/>
      <c r="H178" s="109"/>
      <c r="I178" s="109"/>
      <c r="J178" s="109"/>
      <c r="K178" s="109"/>
      <c r="L178" s="109"/>
      <c r="M178" s="109"/>
      <c r="N178" s="46"/>
      <c r="O178" s="46"/>
      <c r="P178" s="109"/>
      <c r="Q178" s="109"/>
      <c r="R178" s="147"/>
    </row>
    <row r="179" spans="3:18" x14ac:dyDescent="0.2">
      <c r="C179" s="109"/>
      <c r="D179" s="109"/>
      <c r="E179" s="109"/>
      <c r="F179" s="109"/>
      <c r="G179" s="109"/>
      <c r="H179" s="109"/>
      <c r="I179" s="109"/>
      <c r="J179" s="109"/>
      <c r="K179" s="109"/>
      <c r="L179" s="109"/>
      <c r="M179" s="109"/>
      <c r="N179" s="46"/>
      <c r="O179" s="46"/>
      <c r="P179" s="109"/>
      <c r="Q179" s="109"/>
      <c r="R179" s="147"/>
    </row>
    <row r="180" spans="3:18" x14ac:dyDescent="0.2">
      <c r="C180" s="109"/>
      <c r="D180" s="109"/>
      <c r="E180" s="109"/>
      <c r="F180" s="109"/>
      <c r="G180" s="109"/>
      <c r="H180" s="109"/>
      <c r="I180" s="109"/>
      <c r="J180" s="109"/>
      <c r="K180" s="109"/>
      <c r="L180" s="109"/>
      <c r="M180" s="109"/>
      <c r="N180" s="46"/>
      <c r="O180" s="46"/>
      <c r="P180" s="109"/>
      <c r="Q180" s="109"/>
      <c r="R180" s="147"/>
    </row>
    <row r="181" spans="3:18" x14ac:dyDescent="0.2">
      <c r="C181" s="109"/>
      <c r="D181" s="109"/>
      <c r="E181" s="109"/>
      <c r="F181" s="109"/>
      <c r="G181" s="109"/>
      <c r="H181" s="109"/>
      <c r="I181" s="109"/>
      <c r="J181" s="109"/>
      <c r="K181" s="109"/>
      <c r="L181" s="109"/>
      <c r="M181" s="109"/>
      <c r="N181" s="46"/>
      <c r="O181" s="46"/>
      <c r="P181" s="109"/>
      <c r="Q181" s="109"/>
      <c r="R181" s="147"/>
    </row>
    <row r="182" spans="3:18" x14ac:dyDescent="0.2">
      <c r="C182" s="109"/>
      <c r="D182" s="109"/>
      <c r="E182" s="109"/>
      <c r="F182" s="109"/>
      <c r="G182" s="109"/>
      <c r="H182" s="109"/>
      <c r="I182" s="109"/>
      <c r="J182" s="109"/>
      <c r="K182" s="109"/>
      <c r="L182" s="109"/>
      <c r="M182" s="109"/>
      <c r="N182" s="46"/>
      <c r="O182" s="46"/>
      <c r="P182" s="109"/>
      <c r="Q182" s="109"/>
      <c r="R182" s="147"/>
    </row>
    <row r="183" spans="3:18" x14ac:dyDescent="0.2">
      <c r="C183" s="109"/>
      <c r="D183" s="109"/>
      <c r="E183" s="109"/>
      <c r="F183" s="109"/>
      <c r="G183" s="109"/>
      <c r="H183" s="109"/>
      <c r="I183" s="109"/>
      <c r="J183" s="109"/>
      <c r="K183" s="109"/>
      <c r="L183" s="109"/>
      <c r="M183" s="109"/>
      <c r="N183" s="46"/>
      <c r="O183" s="46"/>
      <c r="P183" s="109"/>
      <c r="Q183" s="109"/>
      <c r="R183" s="147"/>
    </row>
    <row r="184" spans="3:18" x14ac:dyDescent="0.2">
      <c r="C184" s="109"/>
      <c r="D184" s="109"/>
      <c r="E184" s="109"/>
      <c r="F184" s="109"/>
      <c r="G184" s="109"/>
      <c r="H184" s="109"/>
      <c r="I184" s="109"/>
      <c r="J184" s="109"/>
      <c r="K184" s="109"/>
      <c r="L184" s="109"/>
      <c r="M184" s="109"/>
      <c r="N184" s="46"/>
      <c r="O184" s="46"/>
      <c r="P184" s="109"/>
      <c r="Q184" s="109"/>
      <c r="R184" s="147"/>
    </row>
  </sheetData>
  <sheetProtection algorithmName="SHA-512" hashValue="NeQOJfai7BWVDoZo5L7GuYGV0AUI2OyYs2M7FQSK8zzkAwhVQ1I5jJni7TO/Qc4Is71Eg4Z6A5Gx54JkMx5kAQ==" saltValue="HLdMqYoQqnS17oGghoQnpA==" spinCount="100000" sheet="1" objects="1" scenarios="1"/>
  <mergeCells count="5">
    <mergeCell ref="B3:K3"/>
    <mergeCell ref="B5:B17"/>
    <mergeCell ref="B19:B37"/>
    <mergeCell ref="B39:B60"/>
    <mergeCell ref="B62:B87"/>
  </mergeCells>
  <pageMargins left="0.7" right="0.7" top="0.75" bottom="0.75" header="0.3" footer="0.3"/>
  <ignoredErrors>
    <ignoredError sqref="G21 G24" formula="1"/>
  </ignoredError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13</vt:i4>
      </vt:variant>
    </vt:vector>
  </HeadingPairs>
  <TitlesOfParts>
    <vt:vector size="13" baseType="lpstr">
      <vt:lpstr>Introduction</vt:lpstr>
      <vt:lpstr>Individual Sheet Explanations</vt:lpstr>
      <vt:lpstr>General Assumptions</vt:lpstr>
      <vt:lpstr>Quick Key Findings</vt:lpstr>
      <vt:lpstr>V. Establishment &amp; Dev Results</vt:lpstr>
      <vt:lpstr>Mature Vineyard Results</vt:lpstr>
      <vt:lpstr>Machinery &amp; Equipment</vt:lpstr>
      <vt:lpstr>Trellis &amp; Drainage</vt:lpstr>
      <vt:lpstr>Establishment &amp; Dev Costs</vt:lpstr>
      <vt:lpstr>Mature Growing Costs</vt:lpstr>
      <vt:lpstr>Ex. Spray Program</vt:lpstr>
      <vt:lpstr>Ex. Herbidcide Program</vt:lpstr>
      <vt:lpstr>Ex. Fertilizer Program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Trent Davis</dc:creator>
  <cp:lastModifiedBy>Trent Davis</cp:lastModifiedBy>
  <dcterms:created xsi:type="dcterms:W3CDTF">2020-05-01T20:26:51Z</dcterms:created>
  <dcterms:modified xsi:type="dcterms:W3CDTF">2021-03-19T14:45:07Z</dcterms:modified>
</cp:coreProperties>
</file>