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225" windowWidth="21360" windowHeight="9300" firstSheet="4" activeTab="6"/>
  </bookViews>
  <sheets>
    <sheet name="welcome and overview" sheetId="8" r:id="rId1"/>
    <sheet name="syrup retail" sheetId="6" r:id="rId2"/>
    <sheet name="syrup retail and wholesale" sheetId="7" r:id="rId3"/>
    <sheet name="maple candy" sheetId="4" r:id="rId4"/>
    <sheet name="maple cream" sheetId="5" r:id="rId5"/>
    <sheet name="maple sugar" sheetId="3" r:id="rId6"/>
    <sheet name="maple cotton candy" sheetId="1" r:id="rId7"/>
    <sheet name="maple soda" sheetId="2" r:id="rId8"/>
  </sheets>
  <calcPr calcId="145621"/>
  <customWorkbookViews>
    <customWorkbookView name="Hillary - Personal View" guid="{F2E49352-58FF-1A45-865A-C9D4D8B13EFB}" mergeInterval="0" personalView="1" xWindow="12" yWindow="97" windowWidth="1175" windowHeight="609" activeSheetId="2"/>
    <customWorkbookView name="Helen Walden - Personal View" guid="{4DE7DEC3-C749-114A-BE3F-7BD90B4E536A}" mergeInterval="0" personalView="1" xWindow="12" yWindow="65" windowWidth="1175" windowHeight="641" activeSheetId="6"/>
    <customWorkbookView name="Windows User - Personal View" guid="{96E29C1C-0447-42D1-AB2E-4693E54A4DC8}" mergeInterval="0" personalView="1" maximized="1" windowWidth="1436" windowHeight="65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8" i="1"/>
  <c r="A20" i="1"/>
  <c r="C22" i="3"/>
  <c r="C18" i="5"/>
  <c r="A24" i="2"/>
  <c r="A17" i="2"/>
  <c r="A16" i="2"/>
  <c r="A15" i="2"/>
  <c r="A22" i="2"/>
  <c r="A27" i="2"/>
  <c r="A31" i="2"/>
  <c r="C13" i="7"/>
  <c r="C14" i="7"/>
  <c r="C15" i="7"/>
  <c r="C16" i="7"/>
  <c r="C12" i="7"/>
  <c r="C20" i="3"/>
  <c r="C29" i="3"/>
  <c r="H24" i="4"/>
  <c r="H25" i="4"/>
  <c r="H26" i="4"/>
  <c r="H27" i="4"/>
  <c r="H28" i="4"/>
  <c r="H29" i="4"/>
  <c r="H30" i="4"/>
  <c r="H31" i="4"/>
  <c r="H23" i="4"/>
  <c r="H21" i="4"/>
  <c r="H22" i="4"/>
  <c r="C25" i="5"/>
  <c r="A28" i="2"/>
  <c r="C7" i="3"/>
  <c r="H16" i="3"/>
  <c r="C32" i="4"/>
  <c r="B32" i="4"/>
  <c r="F22" i="4"/>
  <c r="F23" i="4"/>
  <c r="F24" i="4"/>
  <c r="F25" i="4"/>
  <c r="F26" i="4"/>
  <c r="F27" i="4"/>
  <c r="F28" i="4"/>
  <c r="F29" i="4"/>
  <c r="F30" i="4"/>
  <c r="F31" i="4"/>
  <c r="F21" i="4"/>
  <c r="F13" i="4"/>
  <c r="F12" i="4"/>
  <c r="F11" i="4"/>
  <c r="F10" i="4"/>
  <c r="F9" i="4"/>
  <c r="F8" i="4"/>
  <c r="F7" i="4"/>
  <c r="F6" i="4"/>
  <c r="F5" i="4"/>
  <c r="C21" i="3"/>
  <c r="C19" i="3"/>
  <c r="H15" i="3"/>
  <c r="E14" i="3"/>
  <c r="H14" i="3"/>
  <c r="H14" i="5"/>
  <c r="E13" i="5"/>
  <c r="H13" i="5"/>
  <c r="C23" i="3"/>
  <c r="C24" i="3"/>
  <c r="C19" i="5"/>
  <c r="H32" i="4"/>
  <c r="F32" i="4"/>
  <c r="F15" i="4"/>
  <c r="F16" i="4"/>
  <c r="B12" i="4"/>
  <c r="C25" i="3"/>
  <c r="B8" i="4"/>
  <c r="B35" i="4"/>
  <c r="B36" i="4" s="1"/>
  <c r="B17" i="4"/>
  <c r="B40" i="4"/>
  <c r="F13" i="6"/>
  <c r="F14" i="6"/>
  <c r="F15" i="6"/>
  <c r="F16" i="6"/>
  <c r="F12" i="6"/>
  <c r="F18" i="6" s="1"/>
  <c r="D18" i="6"/>
  <c r="G16" i="6"/>
  <c r="E16" i="6"/>
  <c r="G15" i="6"/>
  <c r="E15" i="6"/>
  <c r="G14" i="6"/>
  <c r="E14" i="6"/>
  <c r="G13" i="6"/>
  <c r="E13" i="6"/>
  <c r="G12" i="6"/>
  <c r="E12" i="6"/>
  <c r="B6" i="6"/>
  <c r="H16" i="6" s="1"/>
  <c r="I16" i="6" s="1"/>
  <c r="I13" i="7"/>
  <c r="I14" i="7"/>
  <c r="I15" i="7"/>
  <c r="I16" i="7"/>
  <c r="I12" i="7"/>
  <c r="H18" i="7"/>
  <c r="G18" i="7"/>
  <c r="E18" i="7"/>
  <c r="E18" i="6"/>
  <c r="A23" i="6"/>
  <c r="G18" i="6"/>
  <c r="C17" i="5"/>
  <c r="C16" i="5"/>
  <c r="B6" i="7"/>
  <c r="J13" i="7"/>
  <c r="J14" i="7"/>
  <c r="J15" i="7"/>
  <c r="J16" i="7"/>
  <c r="J12" i="7"/>
  <c r="F16" i="7"/>
  <c r="F15" i="7"/>
  <c r="F14" i="7"/>
  <c r="F13" i="7"/>
  <c r="F12" i="7"/>
  <c r="B7" i="7"/>
  <c r="L14" i="7"/>
  <c r="N14" i="7"/>
  <c r="L13" i="7"/>
  <c r="N13" i="7"/>
  <c r="L16" i="7"/>
  <c r="N16" i="7"/>
  <c r="L12" i="7"/>
  <c r="N12" i="7"/>
  <c r="L15" i="7"/>
  <c r="N15" i="7"/>
  <c r="C20" i="5"/>
  <c r="C22" i="5"/>
  <c r="K12" i="7"/>
  <c r="K16" i="7"/>
  <c r="M16" i="7"/>
  <c r="K13" i="7"/>
  <c r="M13" i="7"/>
  <c r="K14" i="7"/>
  <c r="M14" i="7"/>
  <c r="K15" i="7"/>
  <c r="M15" i="7"/>
  <c r="M12" i="7"/>
  <c r="J18" i="7"/>
  <c r="I18" i="7"/>
  <c r="F18" i="7"/>
  <c r="A23" i="7"/>
  <c r="C21" i="5"/>
  <c r="A21" i="7"/>
  <c r="A22" i="7"/>
  <c r="A12" i="1" l="1"/>
  <c r="A25" i="1" s="1"/>
  <c r="A23" i="1"/>
  <c r="A24" i="1" s="1"/>
  <c r="B37" i="4"/>
  <c r="H13" i="6"/>
  <c r="I13" i="6" s="1"/>
  <c r="H15" i="6"/>
  <c r="I15" i="6" s="1"/>
  <c r="H12" i="6"/>
  <c r="I12" i="6" s="1"/>
  <c r="B7" i="6"/>
  <c r="A21" i="6" s="1"/>
  <c r="A22" i="6" s="1"/>
  <c r="H14" i="6"/>
  <c r="I14" i="6" s="1"/>
</calcChain>
</file>

<file path=xl/sharedStrings.xml><?xml version="1.0" encoding="utf-8"?>
<sst xmlns="http://schemas.openxmlformats.org/spreadsheetml/2006/main" count="235" uniqueCount="172">
  <si>
    <t>total oz of sugar per bag</t>
  </si>
  <si>
    <t>twist tie</t>
  </si>
  <si>
    <t>number of bags made/hr</t>
  </si>
  <si>
    <t>retail price per bag</t>
  </si>
  <si>
    <t>price of plastic bag</t>
  </si>
  <si>
    <t xml:space="preserve">profit made per hour </t>
  </si>
  <si>
    <t xml:space="preserve">gallon  </t>
  </si>
  <si>
    <t>half gallon</t>
  </si>
  <si>
    <t>quart</t>
  </si>
  <si>
    <t>pint</t>
  </si>
  <si>
    <t>size of container</t>
  </si>
  <si>
    <t>total revenue</t>
  </si>
  <si>
    <t>total profits</t>
  </si>
  <si>
    <t>bulk syrup price</t>
  </si>
  <si>
    <t>per lb</t>
  </si>
  <si>
    <t>cost of jugs</t>
  </si>
  <si>
    <t>profit per jug</t>
  </si>
  <si>
    <t>on a gallon basis</t>
  </si>
  <si>
    <t>$/lb for maple syrup</t>
  </si>
  <si>
    <t>gallons of maple syrup used</t>
  </si>
  <si>
    <t>1/2 lbs of cream produced</t>
  </si>
  <si>
    <t>1 lb jars of cream produced</t>
  </si>
  <si>
    <t>cost of jars</t>
  </si>
  <si>
    <t>profit/hour</t>
  </si>
  <si>
    <t># hours spent making and packaging cream</t>
  </si>
  <si>
    <t>wholesale</t>
  </si>
  <si>
    <t xml:space="preserve"> retail</t>
  </si>
  <si>
    <t>quantity sold</t>
  </si>
  <si>
    <t>retail</t>
  </si>
  <si>
    <t>quantity bottled</t>
  </si>
  <si>
    <t>price per container sold</t>
  </si>
  <si>
    <t>price to purchase</t>
  </si>
  <si>
    <t xml:space="preserve">container </t>
  </si>
  <si>
    <t># of bottles</t>
  </si>
  <si>
    <t># of gallons</t>
  </si>
  <si>
    <t>Profit Calculations</t>
  </si>
  <si>
    <t>bulk syrup price per gallon</t>
  </si>
  <si>
    <t xml:space="preserve">price per container </t>
  </si>
  <si>
    <t>sold in retail outlets</t>
  </si>
  <si>
    <t xml:space="preserve">empty containers </t>
  </si>
  <si>
    <t xml:space="preserve">profit </t>
  </si>
  <si>
    <t>per jug</t>
  </si>
  <si>
    <t>number of jars filled</t>
  </si>
  <si>
    <t>Just fill in the appropriate values for the yellow highlighted cells and the spreadsheet will calculate all of the values in the blue highlighted cells.</t>
  </si>
  <si>
    <t>Totals</t>
  </si>
  <si>
    <t># hours spent making and packaging candy</t>
  </si>
  <si>
    <t>price of jars</t>
  </si>
  <si>
    <t># of jars sold</t>
  </si>
  <si>
    <t># hours spent making and packaging sugar</t>
  </si>
  <si>
    <t>4 oz bottles</t>
  </si>
  <si>
    <t>8 oz bottles</t>
  </si>
  <si>
    <t>cost of container</t>
  </si>
  <si>
    <t>1 lb bag</t>
  </si>
  <si>
    <t>price of containers</t>
  </si>
  <si>
    <t># of containers sold</t>
  </si>
  <si>
    <t>cost of containers</t>
  </si>
  <si>
    <t>1/4 oz</t>
  </si>
  <si>
    <t>1/3 oz</t>
  </si>
  <si>
    <t>1/2 oz</t>
  </si>
  <si>
    <t>3/4 oz</t>
  </si>
  <si>
    <t>1 oz</t>
  </si>
  <si>
    <t>1.5 oz</t>
  </si>
  <si>
    <t xml:space="preserve">number of  </t>
  </si>
  <si>
    <t>candies made</t>
  </si>
  <si>
    <t>total oz</t>
  </si>
  <si>
    <t>of candy</t>
  </si>
  <si>
    <t>2 oz</t>
  </si>
  <si>
    <t>2.5 oz</t>
  </si>
  <si>
    <t>3 oz</t>
  </si>
  <si>
    <t>total</t>
  </si>
  <si>
    <t>oz</t>
  </si>
  <si>
    <t>lbs</t>
  </si>
  <si>
    <t>number sold</t>
  </si>
  <si>
    <t>prices</t>
  </si>
  <si>
    <t>syrup to candy conversion rate</t>
  </si>
  <si>
    <t>revenue</t>
  </si>
  <si>
    <t>Products</t>
  </si>
  <si>
    <t>(enter different items here)</t>
  </si>
  <si>
    <t>(per unit)</t>
  </si>
  <si>
    <t>packaging cost</t>
  </si>
  <si>
    <t>Total</t>
  </si>
  <si>
    <t>value of maple syrup in bulk</t>
  </si>
  <si>
    <t>% of mix that is made of maple sugar</t>
  </si>
  <si>
    <t>labor rate/hr (what you need to pay someone to run the machine or take care of customers while you run the machine)</t>
  </si>
  <si>
    <t>profit/gallon of syrup converted to sugar</t>
  </si>
  <si>
    <t>value of maple syrup as bulk ($/gallon)</t>
  </si>
  <si>
    <t>value of syrup used as raw material</t>
  </si>
  <si>
    <t>$/oz cost of purchasing cane sugar</t>
  </si>
  <si>
    <t>profit/gallon of syrup converted to candy</t>
  </si>
  <si>
    <t>profit/gallon of syrup converted to cream</t>
  </si>
  <si>
    <t>value of syrup used to make cream</t>
  </si>
  <si>
    <t>shrinkage from syrup to cream</t>
  </si>
  <si>
    <t>shrinkage of syrup to candy</t>
  </si>
  <si>
    <t>4 pack of 1/4 oz</t>
  </si>
  <si>
    <t>2 pack of 1/3 oz</t>
  </si>
  <si>
    <t>2 pack of 1 oz</t>
  </si>
  <si>
    <t>1oz individual</t>
  </si>
  <si>
    <t>2.5 oz individual</t>
  </si>
  <si>
    <t>shrinkage rate from syrup to sugar</t>
  </si>
  <si>
    <t>total pounds of sugar produced</t>
  </si>
  <si>
    <t>bulk price of maple syrup</t>
  </si>
  <si>
    <t>liters of seltzer used</t>
  </si>
  <si>
    <t>oz of maple syrup</t>
  </si>
  <si>
    <t>total cost of batch</t>
  </si>
  <si>
    <t>total oz produced</t>
  </si>
  <si>
    <t>oz of soda in cup</t>
  </si>
  <si>
    <t>cost of cup and straw</t>
  </si>
  <si>
    <t>cost of ice in cup</t>
  </si>
  <si>
    <t>cost of soda in cup</t>
  </si>
  <si>
    <t>price of cup of maple soda</t>
  </si>
  <si>
    <t>profit margin per cup of maple soda</t>
  </si>
  <si>
    <t>number of sodas made/hr</t>
  </si>
  <si>
    <t>profit per gallon of syrup converted to soda</t>
  </si>
  <si>
    <t>sugar in soda (by volume)</t>
  </si>
  <si>
    <t>Raw Material Prices</t>
  </si>
  <si>
    <t>cost of ice per oz</t>
  </si>
  <si>
    <t>cost of 2 liter seltzer bottle</t>
  </si>
  <si>
    <t>oz of ice in cup</t>
  </si>
  <si>
    <t>Batch size</t>
  </si>
  <si>
    <t>Batch values</t>
  </si>
  <si>
    <t>Prices and proportions</t>
  </si>
  <si>
    <t>Profit margins</t>
  </si>
  <si>
    <t>labor rate/hr (what you pay someone to make and serve the soda)</t>
  </si>
  <si>
    <t>* note that this does not include the cost of the mixing container, vendor fee, or samples</t>
  </si>
  <si>
    <t>lb bag of cane sugar</t>
  </si>
  <si>
    <t>price of bag</t>
  </si>
  <si>
    <t># of bags made over the life of the machine</t>
  </si>
  <si>
    <t>% of product made given out as samples</t>
  </si>
  <si>
    <t>purchase price of cotton candy machine</t>
  </si>
  <si>
    <t>profit per bag of maple cotton sold</t>
  </si>
  <si>
    <t>machine cost per bag sold</t>
  </si>
  <si>
    <t>total cost of sugar per bag (considering the value of bulk syrup)</t>
  </si>
  <si>
    <t>profit per gallon of syrup converted from bulk syrup to cotton candy</t>
  </si>
  <si>
    <t>*note that this does not include the cost of converting the syrup to sugar</t>
  </si>
  <si>
    <t>price of cream machine</t>
  </si>
  <si>
    <t>lbs of cream made over the lifetime of machine</t>
  </si>
  <si>
    <t>cost of machine/batch</t>
  </si>
  <si>
    <t>percent of cream given out as samples</t>
  </si>
  <si>
    <t>note that this does not include the labor cost of marketing or electricity and vendor fees</t>
  </si>
  <si>
    <t>cost of candy machine</t>
  </si>
  <si>
    <t>lbs of candy made over the life of machine</t>
  </si>
  <si>
    <t>% of candy given as samples</t>
  </si>
  <si>
    <t>machine cost/batch</t>
  </si>
  <si>
    <t>note that this does not include the cost of electricity or vendor fees</t>
  </si>
  <si>
    <t>price of sugar machine</t>
  </si>
  <si>
    <t>lbs of sugar made over the lifetime of machine</t>
  </si>
  <si>
    <t>percent of sugar used for samples</t>
  </si>
  <si>
    <t>wholesale price per lb for maple sugar</t>
  </si>
  <si>
    <t>value of maple sugar (per oz)</t>
  </si>
  <si>
    <t>Maple Cotton Candy</t>
  </si>
  <si>
    <t>Maple Soda</t>
  </si>
  <si>
    <t>Granulated Maple Sugar</t>
  </si>
  <si>
    <t>Maple Candy</t>
  </si>
  <si>
    <t>Maple Cream</t>
  </si>
  <si>
    <t>Maple Syrup in Consumer-Size Containers Sold in Retail Markets</t>
  </si>
  <si>
    <t>barrel size</t>
  </si>
  <si>
    <t>revenue if sold in barrel</t>
  </si>
  <si>
    <t>money earned by selling syrup in consumer-size containers</t>
  </si>
  <si>
    <t>additional revenue per gallon sold in consumer-size containers</t>
  </si>
  <si>
    <t>recovery rate of syrup into consumer-size containers</t>
  </si>
  <si>
    <t>half pint</t>
  </si>
  <si>
    <t>Enter in values for the cells highlighted in yellow; the cells highlighted in blue will update automatically</t>
  </si>
  <si>
    <t>note that this does not include the labor cost of marketing or cost of the machine, electricity, vendor fees, or samples</t>
  </si>
  <si>
    <t>Maple Syrup in Consumer-Size Containers Sold in Retail and Wholesale Markets</t>
  </si>
  <si>
    <r>
      <t xml:space="preserve">From </t>
    </r>
    <r>
      <rPr>
        <i/>
        <sz val="11"/>
        <color theme="1"/>
        <rFont val="Calibri"/>
        <family val="2"/>
        <scheme val="minor"/>
      </rPr>
      <t>The Sugarmaker's Companion</t>
    </r>
    <r>
      <rPr>
        <sz val="11"/>
        <color theme="1"/>
        <rFont val="Calibri"/>
        <family val="2"/>
        <scheme val="minor"/>
      </rPr>
      <t xml:space="preserve"> by Michael Farrell • Copyright © by Michael Farrell. • All rights reserved.</t>
    </r>
  </si>
  <si>
    <t>Welcome to the Maple Products Pricing Guide</t>
  </si>
  <si>
    <t xml:space="preserve">If you havent already read this chapter, doing so will greatly improve your ability to utilize these spreadsheets. </t>
  </si>
  <si>
    <t>The Sugarmakers Companion: An integrated guide to producing syrup from maple, birch, and walnut trees.</t>
  </si>
  <si>
    <t>This Excel file contains pricing guides for bottling syrup and creating other value-added maple products.</t>
  </si>
  <si>
    <t>Simply click on the worksheet tab for the product you would like to use. Scroll to the right to view more products.</t>
  </si>
  <si>
    <t xml:space="preserve">These worksheets are brought to you by Michael Farrell and Chelsea Green Publishing as supplementary material for </t>
  </si>
  <si>
    <r>
      <t xml:space="preserve">This Excel file accompanies </t>
    </r>
    <r>
      <rPr>
        <b/>
        <sz val="16"/>
        <color rgb="FFFF0000"/>
        <rFont val="Times New Roman"/>
        <family val="1"/>
      </rPr>
      <t xml:space="preserve">Chapter 11 </t>
    </r>
    <r>
      <rPr>
        <sz val="16"/>
        <color rgb="FFFF0000"/>
        <rFont val="Times New Roman"/>
        <family val="1"/>
      </rPr>
      <t xml:space="preserve">Where the Money Is: </t>
    </r>
    <r>
      <rPr>
        <i/>
        <sz val="16"/>
        <color rgb="FFFF0000"/>
        <rFont val="Times New Roman"/>
        <family val="1"/>
      </rPr>
      <t>Marketing Your Pure Maple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</si>
</sst>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2" borderId="0" xfId="1" applyFont="1" applyFill="1"/>
    <xf numFmtId="44" fontId="0" fillId="0" borderId="0" xfId="1" applyFont="1" applyFill="1"/>
    <xf numFmtId="0" fontId="0" fillId="2" borderId="0" xfId="0" applyFill="1"/>
    <xf numFmtId="0" fontId="0" fillId="0" borderId="0" xfId="0" applyAlignment="1">
      <alignment horizontal="center"/>
    </xf>
    <xf numFmtId="164" fontId="0" fillId="2" borderId="0" xfId="3" applyNumberFormat="1" applyFont="1" applyFill="1"/>
    <xf numFmtId="0" fontId="0" fillId="0" borderId="0" xfId="0" applyAlignment="1"/>
    <xf numFmtId="0" fontId="2" fillId="0" borderId="0" xfId="0" applyFont="1"/>
    <xf numFmtId="44" fontId="0" fillId="3" borderId="0" xfId="1" applyFont="1" applyFill="1"/>
    <xf numFmtId="0" fontId="0" fillId="3" borderId="0" xfId="0" applyFill="1"/>
    <xf numFmtId="44" fontId="0" fillId="3" borderId="0" xfId="0" applyNumberFormat="1" applyFill="1"/>
    <xf numFmtId="164" fontId="0" fillId="3" borderId="0" xfId="3" applyNumberFormat="1" applyFont="1" applyFill="1"/>
    <xf numFmtId="9" fontId="0" fillId="3" borderId="0" xfId="2" applyFont="1" applyFill="1"/>
    <xf numFmtId="164" fontId="0" fillId="3" borderId="0" xfId="0" applyNumberFormat="1" applyFill="1"/>
    <xf numFmtId="44" fontId="0" fillId="0" borderId="0" xfId="1" applyFont="1" applyAlignment="1"/>
    <xf numFmtId="44" fontId="0" fillId="4" borderId="0" xfId="1" applyFont="1" applyFill="1"/>
    <xf numFmtId="43" fontId="0" fillId="3" borderId="0" xfId="3" applyFont="1" applyFill="1"/>
    <xf numFmtId="43" fontId="0" fillId="3" borderId="0" xfId="0" applyNumberFormat="1" applyFill="1"/>
    <xf numFmtId="43" fontId="0" fillId="3" borderId="0" xfId="3" applyNumberFormat="1" applyFont="1" applyFill="1"/>
    <xf numFmtId="9" fontId="0" fillId="2" borderId="0" xfId="2" applyFont="1" applyFill="1"/>
    <xf numFmtId="44" fontId="0" fillId="4" borderId="0" xfId="0" applyNumberFormat="1" applyFill="1"/>
    <xf numFmtId="44" fontId="0" fillId="0" borderId="0" xfId="0" applyNumberFormat="1" applyFill="1"/>
    <xf numFmtId="9" fontId="0" fillId="0" borderId="0" xfId="2" applyFont="1"/>
    <xf numFmtId="164" fontId="0" fillId="0" borderId="0" xfId="3" applyNumberFormat="1" applyFont="1"/>
    <xf numFmtId="8" fontId="0" fillId="0" borderId="0" xfId="3" applyNumberFormat="1" applyFont="1"/>
    <xf numFmtId="8" fontId="0" fillId="0" borderId="0" xfId="0" applyNumberFormat="1"/>
    <xf numFmtId="8" fontId="0" fillId="3" borderId="0" xfId="3" applyNumberFormat="1" applyFont="1" applyFill="1"/>
    <xf numFmtId="164" fontId="2" fillId="0" borderId="0" xfId="3" applyNumberFormat="1" applyFont="1"/>
    <xf numFmtId="44" fontId="2" fillId="0" borderId="0" xfId="1" applyFont="1"/>
    <xf numFmtId="43" fontId="2" fillId="0" borderId="0" xfId="3" applyNumberFormat="1" applyFont="1"/>
    <xf numFmtId="8" fontId="2" fillId="0" borderId="0" xfId="3" applyNumberFormat="1" applyFont="1"/>
    <xf numFmtId="8" fontId="0" fillId="0" borderId="0" xfId="3" applyNumberFormat="1" applyFont="1" applyFill="1"/>
    <xf numFmtId="6" fontId="0" fillId="2" borderId="0" xfId="3" applyNumberFormat="1" applyFont="1" applyFill="1"/>
    <xf numFmtId="164" fontId="1" fillId="2" borderId="0" xfId="3" applyNumberFormat="1" applyFont="1" applyFill="1"/>
    <xf numFmtId="9" fontId="0" fillId="0" borderId="0" xfId="2" applyFont="1" applyFill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3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Relationship Id="rId10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D12C76-1E31-4C93-985A-FF652C73F1F0}" diskRevisions="1" revisionId="55" version="6">
  <header guid="{59E4061B-4CDB-4FB5-98C5-82A25E604DC6}" dateTime="2013-10-23T08:16:45" maxSheetId="9" userName="Windows User" r:id="rId10" minRId="43">
    <sheetIdMap count="8">
      <sheetId val="8"/>
      <sheetId val="6"/>
      <sheetId val="7"/>
      <sheetId val="4"/>
      <sheetId val="5"/>
      <sheetId val="3"/>
      <sheetId val="1"/>
      <sheetId val="2"/>
    </sheetIdMap>
  </header>
  <header guid="{E1300900-AF3A-456E-9EE4-A84B85ABEBCD}" dateTime="2014-08-15T21:23:27" maxSheetId="9" userName="Windows User" r:id="rId11" minRId="44" maxRId="51">
    <sheetIdMap count="8">
      <sheetId val="8"/>
      <sheetId val="6"/>
      <sheetId val="7"/>
      <sheetId val="4"/>
      <sheetId val="5"/>
      <sheetId val="3"/>
      <sheetId val="1"/>
      <sheetId val="2"/>
    </sheetIdMap>
  </header>
  <header guid="{F9D12C76-1E31-4C93-985A-FF652C73F1F0}" dateTime="2014-09-17T21:20:26" maxSheetId="9" userName="Windows User" r:id="rId12" minRId="52" maxRId="55">
    <sheetIdMap count="8">
      <sheetId val="8"/>
      <sheetId val="6"/>
      <sheetId val="7"/>
      <sheetId val="4"/>
      <sheetId val="5"/>
      <sheetId val="3"/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6" numFmtId="34">
    <oc r="B5">
      <v>2.75</v>
    </oc>
    <nc r="B5">
      <v>2.6</v>
    </nc>
  </rcc>
  <rcc rId="45" sId="6" numFmtId="34">
    <oc r="B14">
      <v>18</v>
    </oc>
    <nc r="B14">
      <v>10</v>
    </nc>
  </rcc>
  <rcc rId="46" sId="6" numFmtId="34">
    <oc r="B12">
      <v>54</v>
    </oc>
    <nc r="B12">
      <v>40</v>
    </nc>
  </rcc>
  <rcc rId="47" sId="6" numFmtId="34">
    <oc r="B13">
      <v>30</v>
    </oc>
    <nc r="B13">
      <v>21</v>
    </nc>
  </rcc>
  <rcc rId="48" sId="6" numFmtId="34">
    <oc r="B15">
      <v>10</v>
    </oc>
    <nc r="B15">
      <v>6</v>
    </nc>
  </rcc>
  <rcc rId="49" sId="6" numFmtId="34">
    <oc r="B16">
      <v>6</v>
    </oc>
    <nc r="B16">
      <v>4</v>
    </nc>
  </rcc>
  <rcc rId="50" sId="4" numFmtId="34">
    <oc r="B7">
      <v>2.75</v>
    </oc>
    <nc r="B7">
      <v>2.6</v>
    </nc>
  </rcc>
  <rcc rId="51" sId="4" numFmtId="34">
    <oc r="B9">
      <v>1600</v>
    </oc>
    <nc r="B9">
      <v>1200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oc r="A10">
      <v>4</v>
    </oc>
    <nc r="A10">
      <v>1</v>
    </nc>
  </rcc>
  <rcc rId="53" sId="1" numFmtId="34">
    <oc r="A4">
      <v>7.5</v>
    </oc>
    <nc r="A4">
      <v>7.05</v>
    </nc>
  </rcc>
  <rcc rId="54" sId="1" numFmtId="34">
    <oc r="A6">
      <v>25</v>
    </oc>
    <nc r="A6">
      <v>50</v>
    </nc>
  </rcc>
  <rcc rId="55" sId="1" numFmtId="34">
    <oc r="A7">
      <v>15</v>
    </oc>
    <nc r="A7">
      <v>94.5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8">
    <oc r="A9" t="inlineStr">
      <is>
        <t>This Excel file accompanies Chapter 11: Where the Money Is: Marketing Your Pure Maple Products</t>
      </is>
    </oc>
    <nc r="A9" t="inlineStr">
      <is>
        <r>
          <t xml:space="preserve">This Excel file accompanies </t>
        </r>
        <r>
          <rPr>
            <b/>
            <sz val="16"/>
            <color rgb="FFFF0000"/>
            <rFont val="Times New Roman"/>
            <family val="1"/>
          </rPr>
          <t xml:space="preserve">Chapter 11 </t>
        </r>
        <r>
          <rPr>
            <sz val="16"/>
            <color rgb="FFFF0000"/>
            <rFont val="Times New Roman"/>
            <family val="1"/>
          </rPr>
          <t xml:space="preserve">Where the Money Is: </t>
        </r>
        <r>
          <rPr>
            <i/>
            <sz val="16"/>
            <color rgb="FFFF0000"/>
            <rFont val="Times New Roman"/>
            <family val="1"/>
          </rPr>
          <t>Marketing Your Pure Maple Products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59E4061B-4CDB-4FB5-98C5-82A25E604DC6}" name="Windows User" id="-1378381578" dateTime="2014-04-21T22:42:45"/>
  <userInfo guid="{F9D12C76-1E31-4C93-985A-FF652C73F1F0}" name="Windows User" id="-1378359174" dateTime="2015-04-24T12:41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workbookViewId="0">
      <selection activeCell="H20" sqref="H20"/>
    </sheetView>
  </sheetViews>
  <sheetFormatPr defaultRowHeight="15" x14ac:dyDescent="0.25"/>
  <sheetData>
    <row r="1" spans="1:11" ht="20.25" x14ac:dyDescent="0.3">
      <c r="A1" s="40" t="s">
        <v>165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25" x14ac:dyDescent="0.3">
      <c r="A3" s="40" t="s">
        <v>170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3.25" x14ac:dyDescent="0.35">
      <c r="A4" s="41" t="s">
        <v>167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0.25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0.25" x14ac:dyDescent="0.3">
      <c r="A6" s="40" t="s">
        <v>168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0.25" x14ac:dyDescent="0.3">
      <c r="A7" s="40" t="s">
        <v>169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0.25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0.25" x14ac:dyDescent="0.3">
      <c r="A9" s="40" t="s">
        <v>171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0.25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0.25" x14ac:dyDescent="0.3">
      <c r="A11" s="40" t="s">
        <v>166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</sheetData>
  <customSheetViews>
    <customSheetView guid="{96E29C1C-0447-42D1-AB2E-4693E54A4DC8}" showGridLines="0" showRowCol="0">
      <selection activeCell="H20" sqref="H20"/>
      <pageMargins left="0.7" right="0.7" top="0.75" bottom="0.75" header="0.3" footer="0.3"/>
      <pageSetup orientation="portrait" horizontalDpi="360" verticalDpi="360" r:id="rId1"/>
    </customSheetView>
  </customSheetView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20" workbookViewId="0">
      <selection activeCell="E15" sqref="E15"/>
    </sheetView>
  </sheetViews>
  <sheetFormatPr defaultColWidth="8.85546875" defaultRowHeight="15" x14ac:dyDescent="0.25"/>
  <cols>
    <col min="1" max="1" width="24" customWidth="1"/>
    <col min="2" max="2" width="20.85546875" customWidth="1"/>
    <col min="3" max="3" width="16.28515625" bestFit="1" customWidth="1"/>
    <col min="4" max="5" width="11" bestFit="1" customWidth="1"/>
    <col min="6" max="6" width="13.140625" bestFit="1" customWidth="1"/>
    <col min="7" max="7" width="10.140625" bestFit="1" customWidth="1"/>
    <col min="8" max="9" width="8" bestFit="1" customWidth="1"/>
    <col min="10" max="10" width="15.42578125" bestFit="1" customWidth="1"/>
  </cols>
  <sheetData>
    <row r="1" spans="1:9" x14ac:dyDescent="0.25">
      <c r="A1" s="9" t="s">
        <v>154</v>
      </c>
    </row>
    <row r="2" spans="1:9" x14ac:dyDescent="0.25">
      <c r="A2" s="38" t="s">
        <v>43</v>
      </c>
    </row>
    <row r="4" spans="1:9" x14ac:dyDescent="0.25">
      <c r="A4" t="s">
        <v>155</v>
      </c>
      <c r="B4" s="5">
        <v>40</v>
      </c>
    </row>
    <row r="5" spans="1:9" x14ac:dyDescent="0.25">
      <c r="A5" t="s">
        <v>13</v>
      </c>
      <c r="B5" s="3">
        <v>2.6</v>
      </c>
    </row>
    <row r="6" spans="1:9" x14ac:dyDescent="0.25">
      <c r="A6" t="s">
        <v>36</v>
      </c>
      <c r="B6" s="10">
        <f>B5* 11.128</f>
        <v>28.9328</v>
      </c>
    </row>
    <row r="7" spans="1:9" x14ac:dyDescent="0.25">
      <c r="A7" t="s">
        <v>156</v>
      </c>
      <c r="B7" s="10">
        <f>B4*B6</f>
        <v>1157.3119999999999</v>
      </c>
    </row>
    <row r="8" spans="1:9" x14ac:dyDescent="0.25">
      <c r="I8" s="8" t="s">
        <v>16</v>
      </c>
    </row>
    <row r="9" spans="1:9" x14ac:dyDescent="0.25">
      <c r="B9" s="39" t="s">
        <v>37</v>
      </c>
      <c r="C9" t="s">
        <v>31</v>
      </c>
      <c r="D9" s="42" t="s">
        <v>29</v>
      </c>
      <c r="E9" s="42"/>
      <c r="H9" s="39" t="s">
        <v>40</v>
      </c>
      <c r="I9" s="8" t="s">
        <v>17</v>
      </c>
    </row>
    <row r="10" spans="1:9" x14ac:dyDescent="0.25">
      <c r="A10" t="s">
        <v>10</v>
      </c>
      <c r="B10" t="s">
        <v>38</v>
      </c>
      <c r="C10" t="s">
        <v>39</v>
      </c>
      <c r="D10" t="s">
        <v>33</v>
      </c>
      <c r="E10" t="s">
        <v>34</v>
      </c>
      <c r="F10" t="s">
        <v>11</v>
      </c>
      <c r="G10" t="s">
        <v>15</v>
      </c>
      <c r="H10" t="s">
        <v>41</v>
      </c>
      <c r="I10" t="s">
        <v>28</v>
      </c>
    </row>
    <row r="11" spans="1:9" x14ac:dyDescent="0.25">
      <c r="B11" s="1"/>
      <c r="C11" s="1"/>
      <c r="D11" s="1"/>
      <c r="F11" s="1"/>
      <c r="G11" s="1"/>
    </row>
    <row r="12" spans="1:9" x14ac:dyDescent="0.25">
      <c r="A12" t="s">
        <v>6</v>
      </c>
      <c r="B12" s="3">
        <v>40</v>
      </c>
      <c r="C12" s="3">
        <v>2.37</v>
      </c>
      <c r="D12" s="5">
        <v>18</v>
      </c>
      <c r="E12" s="11">
        <f>D12*1</f>
        <v>18</v>
      </c>
      <c r="F12" s="10">
        <f>D12*B12</f>
        <v>720</v>
      </c>
      <c r="G12" s="10">
        <f>D12*C12</f>
        <v>42.660000000000004</v>
      </c>
      <c r="H12" s="12">
        <f>B12-(B6+C12)</f>
        <v>8.6971999999999987</v>
      </c>
      <c r="I12" s="12">
        <f>H12*1</f>
        <v>8.6971999999999987</v>
      </c>
    </row>
    <row r="13" spans="1:9" x14ac:dyDescent="0.25">
      <c r="A13" t="s">
        <v>7</v>
      </c>
      <c r="B13" s="3">
        <v>21</v>
      </c>
      <c r="C13" s="3">
        <v>1.84</v>
      </c>
      <c r="D13" s="5">
        <v>15</v>
      </c>
      <c r="E13" s="11">
        <f>D13*0.5</f>
        <v>7.5</v>
      </c>
      <c r="F13" s="10">
        <f t="shared" ref="F13:F16" si="0">D13*B13</f>
        <v>315</v>
      </c>
      <c r="G13" s="10">
        <f>D13*C13</f>
        <v>27.6</v>
      </c>
      <c r="H13" s="12">
        <f>B13-((B6/2)+C13)</f>
        <v>4.6936</v>
      </c>
      <c r="I13" s="12">
        <f>H13*2</f>
        <v>9.3872</v>
      </c>
    </row>
    <row r="14" spans="1:9" x14ac:dyDescent="0.25">
      <c r="A14" t="s">
        <v>8</v>
      </c>
      <c r="B14" s="3">
        <v>10</v>
      </c>
      <c r="C14" s="3">
        <v>1.43</v>
      </c>
      <c r="D14" s="5">
        <v>36</v>
      </c>
      <c r="E14" s="11">
        <f>D14*0.25</f>
        <v>9</v>
      </c>
      <c r="F14" s="10">
        <f t="shared" si="0"/>
        <v>360</v>
      </c>
      <c r="G14" s="10">
        <f>D14*C14</f>
        <v>51.48</v>
      </c>
      <c r="H14" s="12">
        <f>B14-((B6/4)+C14)</f>
        <v>1.3368000000000002</v>
      </c>
      <c r="I14" s="12">
        <f>H14*4</f>
        <v>5.3472000000000008</v>
      </c>
    </row>
    <row r="15" spans="1:9" x14ac:dyDescent="0.25">
      <c r="A15" t="s">
        <v>9</v>
      </c>
      <c r="B15" s="3">
        <v>6</v>
      </c>
      <c r="C15" s="3">
        <v>1.22</v>
      </c>
      <c r="D15" s="5">
        <v>20</v>
      </c>
      <c r="E15" s="11">
        <f>D15*0.125</f>
        <v>2.5</v>
      </c>
      <c r="F15" s="10">
        <f t="shared" si="0"/>
        <v>120</v>
      </c>
      <c r="G15" s="10">
        <f>D15*C15</f>
        <v>24.4</v>
      </c>
      <c r="H15" s="12">
        <f>B15-((B6/8)+C15)</f>
        <v>1.1634000000000002</v>
      </c>
      <c r="I15" s="12">
        <f>H15*8</f>
        <v>9.3072000000000017</v>
      </c>
    </row>
    <row r="16" spans="1:9" x14ac:dyDescent="0.25">
      <c r="A16" t="s">
        <v>160</v>
      </c>
      <c r="B16" s="3">
        <v>4</v>
      </c>
      <c r="C16" s="3">
        <v>1.17</v>
      </c>
      <c r="D16" s="5">
        <v>8</v>
      </c>
      <c r="E16" s="11">
        <f>D16*0.0625</f>
        <v>0.5</v>
      </c>
      <c r="F16" s="10">
        <f t="shared" si="0"/>
        <v>32</v>
      </c>
      <c r="G16" s="10">
        <f>D16*C16</f>
        <v>9.36</v>
      </c>
      <c r="H16" s="12">
        <f>B16-((B6/16)+C16)</f>
        <v>1.0217000000000001</v>
      </c>
      <c r="I16" s="12">
        <f>H16*16</f>
        <v>16.347200000000001</v>
      </c>
    </row>
    <row r="17" spans="1:7" x14ac:dyDescent="0.25">
      <c r="F17" s="1"/>
      <c r="G17" s="1"/>
    </row>
    <row r="18" spans="1:7" x14ac:dyDescent="0.25">
      <c r="A18" t="s">
        <v>44</v>
      </c>
      <c r="C18" s="2"/>
      <c r="D18" s="13">
        <f>SUM(D12:D16)</f>
        <v>97</v>
      </c>
      <c r="E18" s="11">
        <f>SUM(E12:E16)</f>
        <v>37.5</v>
      </c>
      <c r="F18" s="10">
        <f>SUM(F12:F16)</f>
        <v>1547</v>
      </c>
      <c r="G18" s="10">
        <f>SUM(G12:G16)</f>
        <v>155.5</v>
      </c>
    </row>
    <row r="20" spans="1:7" x14ac:dyDescent="0.25">
      <c r="A20" s="9" t="s">
        <v>35</v>
      </c>
    </row>
    <row r="21" spans="1:7" x14ac:dyDescent="0.25">
      <c r="A21" s="10">
        <f>F18-(B7+G18)</f>
        <v>234.1880000000001</v>
      </c>
      <c r="B21" t="s">
        <v>157</v>
      </c>
    </row>
    <row r="22" spans="1:7" x14ac:dyDescent="0.25">
      <c r="A22" s="10">
        <f>A21/B4</f>
        <v>5.8547000000000029</v>
      </c>
      <c r="B22" t="s">
        <v>158</v>
      </c>
    </row>
    <row r="23" spans="1:7" x14ac:dyDescent="0.25">
      <c r="A23" s="14">
        <f>E18/B4</f>
        <v>0.9375</v>
      </c>
      <c r="B23" t="s">
        <v>159</v>
      </c>
    </row>
  </sheetData>
  <customSheetViews>
    <customSheetView guid="{F2E49352-58FF-1A45-865A-C9D4D8B13EFB}">
      <selection activeCell="A17" sqref="A17"/>
      <pageMargins left="0.7" right="0.7" top="0.75" bottom="0.75" header="0.3" footer="0.3"/>
      <pageSetup orientation="portrait" horizontalDpi="360" verticalDpi="360"/>
    </customSheetView>
    <customSheetView guid="{4DE7DEC3-C749-114A-BE3F-7BD90B4E536A}">
      <selection activeCell="B31" sqref="B31"/>
      <pageMargins left="0.7" right="0.7" top="0.75" bottom="0.75" header="0.3" footer="0.3"/>
      <pageSetup orientation="portrait" horizontalDpi="360" verticalDpi="360"/>
    </customSheetView>
    <customSheetView guid="{96E29C1C-0447-42D1-AB2E-4693E54A4DC8}">
      <selection activeCell="E15" sqref="E15"/>
      <pageMargins left="0.75" right="0.75" top="1" bottom="1" header="0.5" footer="0.5"/>
      <pageSetup orientation="portrait" horizontalDpi="360" verticalDpi="360"/>
    </customSheetView>
  </customSheetViews>
  <mergeCells count="1">
    <mergeCell ref="D9:E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6" sqref="E6"/>
    </sheetView>
  </sheetViews>
  <sheetFormatPr defaultColWidth="8.85546875" defaultRowHeight="15" x14ac:dyDescent="0.25"/>
  <cols>
    <col min="1" max="1" width="24" customWidth="1"/>
    <col min="2" max="2" width="15.140625" bestFit="1" customWidth="1"/>
    <col min="3" max="3" width="15.85546875" bestFit="1" customWidth="1"/>
    <col min="4" max="4" width="16.28515625" bestFit="1" customWidth="1"/>
    <col min="5" max="6" width="11" bestFit="1" customWidth="1"/>
    <col min="7" max="7" width="5.7109375" bestFit="1" customWidth="1"/>
    <col min="8" max="8" width="10.140625" bestFit="1" customWidth="1"/>
    <col min="9" max="9" width="13.140625" bestFit="1" customWidth="1"/>
    <col min="10" max="10" width="10.140625" bestFit="1" customWidth="1"/>
    <col min="11" max="11" width="8" bestFit="1" customWidth="1"/>
    <col min="12" max="12" width="10.140625" bestFit="1" customWidth="1"/>
    <col min="13" max="13" width="8" bestFit="1" customWidth="1"/>
    <col min="14" max="14" width="10.140625" bestFit="1" customWidth="1"/>
    <col min="15" max="15" width="15.42578125" bestFit="1" customWidth="1"/>
  </cols>
  <sheetData>
    <row r="1" spans="1:14" x14ac:dyDescent="0.25">
      <c r="A1" s="9" t="s">
        <v>163</v>
      </c>
    </row>
    <row r="2" spans="1:14" x14ac:dyDescent="0.25">
      <c r="A2" s="38" t="s">
        <v>43</v>
      </c>
    </row>
    <row r="4" spans="1:14" x14ac:dyDescent="0.25">
      <c r="A4" t="s">
        <v>155</v>
      </c>
      <c r="B4" s="5">
        <v>40</v>
      </c>
    </row>
    <row r="5" spans="1:14" x14ac:dyDescent="0.25">
      <c r="A5" t="s">
        <v>13</v>
      </c>
      <c r="B5" s="3">
        <v>2.6</v>
      </c>
      <c r="C5" t="s">
        <v>14</v>
      </c>
    </row>
    <row r="6" spans="1:14" x14ac:dyDescent="0.25">
      <c r="A6" t="s">
        <v>36</v>
      </c>
      <c r="B6" s="10">
        <f>B5* 11.128</f>
        <v>28.9328</v>
      </c>
    </row>
    <row r="7" spans="1:14" x14ac:dyDescent="0.25">
      <c r="A7" t="s">
        <v>156</v>
      </c>
      <c r="B7" s="10">
        <f>B4*B6</f>
        <v>1157.3119999999999</v>
      </c>
    </row>
    <row r="8" spans="1:14" x14ac:dyDescent="0.25">
      <c r="C8" s="4"/>
      <c r="M8" s="42" t="s">
        <v>16</v>
      </c>
      <c r="N8" s="42"/>
    </row>
    <row r="9" spans="1:14" x14ac:dyDescent="0.25">
      <c r="B9" s="42" t="s">
        <v>30</v>
      </c>
      <c r="C9" s="42"/>
      <c r="D9" t="s">
        <v>31</v>
      </c>
      <c r="E9" s="42" t="s">
        <v>29</v>
      </c>
      <c r="F9" s="42"/>
      <c r="G9" s="42" t="s">
        <v>27</v>
      </c>
      <c r="H9" s="42"/>
      <c r="K9" s="42" t="s">
        <v>16</v>
      </c>
      <c r="L9" s="42"/>
      <c r="M9" s="42" t="s">
        <v>17</v>
      </c>
      <c r="N9" s="42"/>
    </row>
    <row r="10" spans="1:14" x14ac:dyDescent="0.25">
      <c r="A10" t="s">
        <v>10</v>
      </c>
      <c r="B10" t="s">
        <v>26</v>
      </c>
      <c r="C10" t="s">
        <v>25</v>
      </c>
      <c r="D10" t="s">
        <v>32</v>
      </c>
      <c r="E10" t="s">
        <v>33</v>
      </c>
      <c r="F10" t="s">
        <v>34</v>
      </c>
      <c r="G10" t="s">
        <v>28</v>
      </c>
      <c r="H10" t="s">
        <v>25</v>
      </c>
      <c r="I10" t="s">
        <v>11</v>
      </c>
      <c r="J10" t="s">
        <v>15</v>
      </c>
      <c r="K10" t="s">
        <v>28</v>
      </c>
      <c r="L10" t="s">
        <v>25</v>
      </c>
      <c r="M10" t="s">
        <v>28</v>
      </c>
      <c r="N10" t="s">
        <v>25</v>
      </c>
    </row>
    <row r="11" spans="1:14" x14ac:dyDescent="0.25">
      <c r="B11" s="1"/>
      <c r="C11" s="1"/>
      <c r="D11" s="1"/>
      <c r="E11" s="1"/>
      <c r="I11" s="1"/>
      <c r="J11" s="1"/>
    </row>
    <row r="12" spans="1:14" x14ac:dyDescent="0.25">
      <c r="A12" t="s">
        <v>6</v>
      </c>
      <c r="B12" s="3">
        <v>54</v>
      </c>
      <c r="C12" s="3">
        <f>B12*0.8</f>
        <v>43.2</v>
      </c>
      <c r="D12" s="3">
        <v>2.37</v>
      </c>
      <c r="E12" s="5">
        <v>18</v>
      </c>
      <c r="F12" s="11">
        <f>E12*1</f>
        <v>18</v>
      </c>
      <c r="G12" s="7">
        <v>10</v>
      </c>
      <c r="H12" s="7">
        <v>8</v>
      </c>
      <c r="I12" s="10">
        <f>(G12*B12)+(H12*C12)</f>
        <v>885.6</v>
      </c>
      <c r="J12" s="10">
        <f>E12*D12</f>
        <v>42.660000000000004</v>
      </c>
      <c r="K12" s="12">
        <f>B12-(B6+D12)</f>
        <v>22.697199999999999</v>
      </c>
      <c r="L12" s="12">
        <f>C12-(B6+D12)</f>
        <v>11.897200000000002</v>
      </c>
      <c r="M12" s="12">
        <f>K12*1</f>
        <v>22.697199999999999</v>
      </c>
      <c r="N12" s="12">
        <f>L12*1</f>
        <v>11.897200000000002</v>
      </c>
    </row>
    <row r="13" spans="1:14" x14ac:dyDescent="0.25">
      <c r="A13" t="s">
        <v>7</v>
      </c>
      <c r="B13" s="3">
        <v>30</v>
      </c>
      <c r="C13" s="3">
        <f t="shared" ref="C13:C16" si="0">B13*0.8</f>
        <v>24</v>
      </c>
      <c r="D13" s="3">
        <v>1.84</v>
      </c>
      <c r="E13" s="5">
        <v>15</v>
      </c>
      <c r="F13" s="11">
        <f>E13*0.5</f>
        <v>7.5</v>
      </c>
      <c r="G13" s="7">
        <v>10</v>
      </c>
      <c r="H13" s="7">
        <v>5</v>
      </c>
      <c r="I13" s="10">
        <f t="shared" ref="I13:I16" si="1">(G13*B13)+(H13*C13)</f>
        <v>420</v>
      </c>
      <c r="J13" s="10">
        <f>E13*D13</f>
        <v>27.6</v>
      </c>
      <c r="K13" s="12">
        <f>B13-((B6/2)+D13)</f>
        <v>13.6936</v>
      </c>
      <c r="L13" s="12">
        <f>C13-((B6/2)+D13)</f>
        <v>7.6936</v>
      </c>
      <c r="M13" s="12">
        <f>K13*2</f>
        <v>27.3872</v>
      </c>
      <c r="N13" s="12">
        <f>L13*2</f>
        <v>15.3872</v>
      </c>
    </row>
    <row r="14" spans="1:14" x14ac:dyDescent="0.25">
      <c r="A14" t="s">
        <v>8</v>
      </c>
      <c r="B14" s="3">
        <v>18</v>
      </c>
      <c r="C14" s="3">
        <f t="shared" si="0"/>
        <v>14.4</v>
      </c>
      <c r="D14" s="3">
        <v>1.43</v>
      </c>
      <c r="E14" s="5">
        <v>36</v>
      </c>
      <c r="F14" s="11">
        <f>E14*0.25</f>
        <v>9</v>
      </c>
      <c r="G14" s="7">
        <v>24</v>
      </c>
      <c r="H14" s="7">
        <v>12</v>
      </c>
      <c r="I14" s="10">
        <f t="shared" si="1"/>
        <v>604.79999999999995</v>
      </c>
      <c r="J14" s="10">
        <f>E14*D14</f>
        <v>51.48</v>
      </c>
      <c r="K14" s="12">
        <f>B14-((B6/4)+D14)</f>
        <v>9.3368000000000002</v>
      </c>
      <c r="L14" s="12">
        <f>C14-((B6/4)+D14)</f>
        <v>5.7368000000000006</v>
      </c>
      <c r="M14" s="12">
        <f>K14*4</f>
        <v>37.347200000000001</v>
      </c>
      <c r="N14" s="12">
        <f>L14*4</f>
        <v>22.947200000000002</v>
      </c>
    </row>
    <row r="15" spans="1:14" x14ac:dyDescent="0.25">
      <c r="A15" t="s">
        <v>9</v>
      </c>
      <c r="B15" s="3">
        <v>10</v>
      </c>
      <c r="C15" s="3">
        <f t="shared" si="0"/>
        <v>8</v>
      </c>
      <c r="D15" s="3">
        <v>1.22</v>
      </c>
      <c r="E15" s="5">
        <v>20</v>
      </c>
      <c r="F15" s="11">
        <f>E15*0.125</f>
        <v>2.5</v>
      </c>
      <c r="G15" s="7">
        <v>16</v>
      </c>
      <c r="H15" s="7">
        <v>4</v>
      </c>
      <c r="I15" s="10">
        <f t="shared" si="1"/>
        <v>192</v>
      </c>
      <c r="J15" s="10">
        <f>E15*D15</f>
        <v>24.4</v>
      </c>
      <c r="K15" s="12">
        <f>B15-((B6/8)+D15)</f>
        <v>5.1634000000000002</v>
      </c>
      <c r="L15" s="12">
        <f>C15-((B6/8)+D15)</f>
        <v>3.1634000000000002</v>
      </c>
      <c r="M15" s="12">
        <f>K15*8</f>
        <v>41.307200000000002</v>
      </c>
      <c r="N15" s="12">
        <f>L15*8</f>
        <v>25.307200000000002</v>
      </c>
    </row>
    <row r="16" spans="1:14" x14ac:dyDescent="0.25">
      <c r="A16" t="s">
        <v>160</v>
      </c>
      <c r="B16" s="3">
        <v>6</v>
      </c>
      <c r="C16" s="3">
        <f t="shared" si="0"/>
        <v>4.8000000000000007</v>
      </c>
      <c r="D16" s="3">
        <v>1.17</v>
      </c>
      <c r="E16" s="5">
        <v>8</v>
      </c>
      <c r="F16" s="11">
        <f>E16*0.0625</f>
        <v>0.5</v>
      </c>
      <c r="G16" s="7">
        <v>6</v>
      </c>
      <c r="H16" s="7">
        <v>2</v>
      </c>
      <c r="I16" s="10">
        <f t="shared" si="1"/>
        <v>45.6</v>
      </c>
      <c r="J16" s="10">
        <f>E16*D16</f>
        <v>9.36</v>
      </c>
      <c r="K16" s="12">
        <f>B16-((B6/16)+D16)</f>
        <v>3.0217000000000001</v>
      </c>
      <c r="L16" s="12">
        <f>C16-((B6/16)+D16)</f>
        <v>1.8217000000000008</v>
      </c>
      <c r="M16" s="12">
        <f>K16*16</f>
        <v>48.347200000000001</v>
      </c>
      <c r="N16" s="12">
        <f>L16*16</f>
        <v>29.147200000000012</v>
      </c>
    </row>
    <row r="17" spans="1:10" x14ac:dyDescent="0.25">
      <c r="I17" s="1"/>
      <c r="J17" s="1"/>
    </row>
    <row r="18" spans="1:10" x14ac:dyDescent="0.25">
      <c r="A18" t="s">
        <v>44</v>
      </c>
      <c r="D18" s="2"/>
      <c r="E18" s="13">
        <f t="shared" ref="E18:J18" si="2">SUM(E12:E16)</f>
        <v>97</v>
      </c>
      <c r="F18" s="11">
        <f t="shared" si="2"/>
        <v>37.5</v>
      </c>
      <c r="G18" s="15">
        <f t="shared" si="2"/>
        <v>66</v>
      </c>
      <c r="H18" s="15">
        <f t="shared" si="2"/>
        <v>31</v>
      </c>
      <c r="I18" s="10">
        <f t="shared" si="2"/>
        <v>2147.9999999999995</v>
      </c>
      <c r="J18" s="10">
        <f t="shared" si="2"/>
        <v>155.5</v>
      </c>
    </row>
    <row r="20" spans="1:10" x14ac:dyDescent="0.25">
      <c r="A20" s="9" t="s">
        <v>35</v>
      </c>
    </row>
    <row r="21" spans="1:10" x14ac:dyDescent="0.25">
      <c r="A21" s="10">
        <f>I18-(B7+J18)</f>
        <v>835.18799999999965</v>
      </c>
      <c r="B21" t="s">
        <v>157</v>
      </c>
    </row>
    <row r="22" spans="1:10" x14ac:dyDescent="0.25">
      <c r="A22" s="10">
        <f>A21/B4</f>
        <v>20.879699999999993</v>
      </c>
      <c r="B22" t="s">
        <v>158</v>
      </c>
    </row>
    <row r="23" spans="1:10" x14ac:dyDescent="0.25">
      <c r="A23" s="14">
        <f>F18/B4</f>
        <v>0.9375</v>
      </c>
      <c r="B23" t="s">
        <v>159</v>
      </c>
    </row>
  </sheetData>
  <customSheetViews>
    <customSheetView guid="{F2E49352-58FF-1A45-865A-C9D4D8B13EFB}">
      <selection activeCell="B24" sqref="B24"/>
      <pageMargins left="0.7" right="0.7" top="0.75" bottom="0.75" header="0.3" footer="0.3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96E29C1C-0447-42D1-AB2E-4693E54A4DC8}">
      <selection activeCell="E6" sqref="E6"/>
      <pageMargins left="0.75" right="0.75" top="1" bottom="1" header="0.5" footer="0.5"/>
      <pageSetup orientation="portrait" horizontalDpi="360" verticalDpi="360"/>
    </customSheetView>
  </customSheetViews>
  <mergeCells count="6">
    <mergeCell ref="M8:N8"/>
    <mergeCell ref="G9:H9"/>
    <mergeCell ref="M9:N9"/>
    <mergeCell ref="B9:C9"/>
    <mergeCell ref="E9:F9"/>
    <mergeCell ref="K9:L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" sqref="A2"/>
    </sheetView>
  </sheetViews>
  <sheetFormatPr defaultColWidth="8.85546875" defaultRowHeight="15" x14ac:dyDescent="0.25"/>
  <cols>
    <col min="1" max="1" width="37.85546875" customWidth="1"/>
    <col min="2" max="2" width="10.42578125" bestFit="1" customWidth="1"/>
    <col min="3" max="3" width="10.140625" bestFit="1" customWidth="1"/>
    <col min="4" max="4" width="9.42578125" customWidth="1"/>
    <col min="5" max="5" width="13.28515625" bestFit="1" customWidth="1"/>
    <col min="6" max="6" width="9.7109375" bestFit="1" customWidth="1"/>
    <col min="7" max="7" width="13.85546875" bestFit="1" customWidth="1"/>
    <col min="8" max="8" width="11.140625" customWidth="1"/>
  </cols>
  <sheetData>
    <row r="1" spans="1:7" x14ac:dyDescent="0.25">
      <c r="A1" s="9" t="s">
        <v>152</v>
      </c>
    </row>
    <row r="2" spans="1:7" x14ac:dyDescent="0.25">
      <c r="A2" s="37" t="s">
        <v>161</v>
      </c>
    </row>
    <row r="3" spans="1:7" x14ac:dyDescent="0.25">
      <c r="E3" t="s">
        <v>62</v>
      </c>
      <c r="F3" t="s">
        <v>64</v>
      </c>
    </row>
    <row r="4" spans="1:7" x14ac:dyDescent="0.25">
      <c r="E4" t="s">
        <v>63</v>
      </c>
      <c r="F4" t="s">
        <v>65</v>
      </c>
    </row>
    <row r="5" spans="1:7" x14ac:dyDescent="0.25">
      <c r="A5" t="s">
        <v>45</v>
      </c>
      <c r="B5" s="5">
        <v>2</v>
      </c>
      <c r="D5" t="s">
        <v>56</v>
      </c>
      <c r="E5" s="7">
        <v>120</v>
      </c>
      <c r="F5" s="18">
        <f>E5*0.25</f>
        <v>30</v>
      </c>
    </row>
    <row r="6" spans="1:7" x14ac:dyDescent="0.25">
      <c r="A6" t="s">
        <v>19</v>
      </c>
      <c r="B6" s="5">
        <v>1.5</v>
      </c>
      <c r="D6" t="s">
        <v>57</v>
      </c>
      <c r="E6" s="7">
        <v>200</v>
      </c>
      <c r="F6" s="20">
        <f>E6*0.33</f>
        <v>66</v>
      </c>
    </row>
    <row r="7" spans="1:7" x14ac:dyDescent="0.25">
      <c r="A7" t="s">
        <v>18</v>
      </c>
      <c r="B7" s="3">
        <v>2.6</v>
      </c>
      <c r="D7" t="s">
        <v>58</v>
      </c>
      <c r="E7" s="7"/>
      <c r="F7" s="18">
        <f>E7*0.5</f>
        <v>0</v>
      </c>
    </row>
    <row r="8" spans="1:7" x14ac:dyDescent="0.25">
      <c r="A8" t="s">
        <v>81</v>
      </c>
      <c r="B8" s="12">
        <f>B6*11.1*B7</f>
        <v>43.29</v>
      </c>
      <c r="D8" t="s">
        <v>59</v>
      </c>
      <c r="E8" s="7"/>
      <c r="F8" s="18">
        <f>E8*0.75</f>
        <v>0</v>
      </c>
    </row>
    <row r="9" spans="1:7" x14ac:dyDescent="0.25">
      <c r="A9" t="s">
        <v>139</v>
      </c>
      <c r="B9" s="3">
        <v>1200</v>
      </c>
      <c r="D9" t="s">
        <v>60</v>
      </c>
      <c r="E9" s="7">
        <v>48</v>
      </c>
      <c r="F9" s="18">
        <f>E9*1</f>
        <v>48</v>
      </c>
    </row>
    <row r="10" spans="1:7" x14ac:dyDescent="0.25">
      <c r="A10" t="s">
        <v>140</v>
      </c>
      <c r="B10" s="5">
        <v>1000</v>
      </c>
      <c r="D10" t="s">
        <v>61</v>
      </c>
      <c r="E10" s="7"/>
      <c r="F10" s="18">
        <f>E10*1.5</f>
        <v>0</v>
      </c>
    </row>
    <row r="11" spans="1:7" x14ac:dyDescent="0.25">
      <c r="A11" t="s">
        <v>141</v>
      </c>
      <c r="B11" s="21">
        <v>0.03</v>
      </c>
      <c r="D11" t="s">
        <v>66</v>
      </c>
      <c r="E11" s="7"/>
      <c r="F11" s="18">
        <f>E11*2</f>
        <v>0</v>
      </c>
    </row>
    <row r="12" spans="1:7" x14ac:dyDescent="0.25">
      <c r="A12" t="s">
        <v>142</v>
      </c>
      <c r="B12" s="10">
        <f>(B9/B10)*F16</f>
        <v>14.549999999999999</v>
      </c>
      <c r="D12" t="s">
        <v>67</v>
      </c>
      <c r="E12" s="7">
        <v>20</v>
      </c>
      <c r="F12" s="18">
        <f>E12*2.5</f>
        <v>50</v>
      </c>
    </row>
    <row r="13" spans="1:7" x14ac:dyDescent="0.25">
      <c r="D13" t="s">
        <v>68</v>
      </c>
      <c r="E13" s="7"/>
      <c r="F13" s="18">
        <f>E13*3</f>
        <v>0</v>
      </c>
    </row>
    <row r="15" spans="1:7" x14ac:dyDescent="0.25">
      <c r="D15" t="s">
        <v>69</v>
      </c>
      <c r="F15" s="19">
        <f>SUM(F5:F13)</f>
        <v>194</v>
      </c>
      <c r="G15" t="s">
        <v>70</v>
      </c>
    </row>
    <row r="16" spans="1:7" x14ac:dyDescent="0.25">
      <c r="F16" s="11">
        <f>F15/16</f>
        <v>12.125</v>
      </c>
      <c r="G16" t="s">
        <v>71</v>
      </c>
    </row>
    <row r="17" spans="1:8" x14ac:dyDescent="0.25">
      <c r="A17" t="s">
        <v>74</v>
      </c>
      <c r="B17" s="14">
        <f>F16/(B6*11.1)</f>
        <v>0.7282282282282283</v>
      </c>
    </row>
    <row r="19" spans="1:8" x14ac:dyDescent="0.25">
      <c r="A19" s="6" t="s">
        <v>76</v>
      </c>
      <c r="B19" s="43" t="s">
        <v>72</v>
      </c>
      <c r="C19" s="43"/>
      <c r="D19" s="43" t="s">
        <v>73</v>
      </c>
      <c r="E19" s="43"/>
      <c r="G19" s="43" t="s">
        <v>79</v>
      </c>
      <c r="H19" s="43"/>
    </row>
    <row r="20" spans="1:8" x14ac:dyDescent="0.25">
      <c r="A20" s="6" t="s">
        <v>77</v>
      </c>
      <c r="B20" s="6" t="s">
        <v>28</v>
      </c>
      <c r="C20" s="6" t="s">
        <v>25</v>
      </c>
      <c r="D20" s="6" t="s">
        <v>28</v>
      </c>
      <c r="E20" s="6" t="s">
        <v>25</v>
      </c>
      <c r="F20" s="6" t="s">
        <v>75</v>
      </c>
      <c r="G20" s="6" t="s">
        <v>78</v>
      </c>
      <c r="H20" s="6" t="s">
        <v>69</v>
      </c>
    </row>
    <row r="21" spans="1:8" x14ac:dyDescent="0.25">
      <c r="A21" s="5" t="s">
        <v>93</v>
      </c>
      <c r="B21" s="7">
        <v>80</v>
      </c>
      <c r="C21" s="7">
        <v>40</v>
      </c>
      <c r="D21" s="3">
        <v>1.5</v>
      </c>
      <c r="E21" s="3">
        <v>1.2</v>
      </c>
      <c r="F21" s="10">
        <f>(B21*D21)+(C21*E21)</f>
        <v>168</v>
      </c>
      <c r="G21" s="16">
        <v>0.1</v>
      </c>
      <c r="H21" s="19">
        <f>G21*(B21+C21)</f>
        <v>12</v>
      </c>
    </row>
    <row r="22" spans="1:8" x14ac:dyDescent="0.25">
      <c r="A22" s="5" t="s">
        <v>94</v>
      </c>
      <c r="B22" s="7">
        <v>120</v>
      </c>
      <c r="C22" s="7">
        <v>80</v>
      </c>
      <c r="D22" s="3">
        <v>1</v>
      </c>
      <c r="E22" s="3">
        <v>0.5</v>
      </c>
      <c r="F22" s="10">
        <f t="shared" ref="F22:F31" si="0">(B22*D22)+(C22*E22)</f>
        <v>160</v>
      </c>
      <c r="G22" s="1">
        <v>0.1</v>
      </c>
      <c r="H22" s="19">
        <f>G22*(B22+C22)</f>
        <v>20</v>
      </c>
    </row>
    <row r="23" spans="1:8" x14ac:dyDescent="0.25">
      <c r="A23" s="5" t="s">
        <v>95</v>
      </c>
      <c r="B23" s="7">
        <v>16</v>
      </c>
      <c r="C23" s="7"/>
      <c r="D23" s="3">
        <v>2.5</v>
      </c>
      <c r="E23" s="3"/>
      <c r="F23" s="10">
        <f t="shared" si="0"/>
        <v>40</v>
      </c>
      <c r="G23" s="1">
        <v>0.2</v>
      </c>
      <c r="H23" s="19">
        <f>G23*(B23+C23)</f>
        <v>3.2</v>
      </c>
    </row>
    <row r="24" spans="1:8" x14ac:dyDescent="0.25">
      <c r="A24" s="5" t="s">
        <v>96</v>
      </c>
      <c r="B24" s="7">
        <v>24</v>
      </c>
      <c r="C24" s="7"/>
      <c r="D24" s="3">
        <v>1.5</v>
      </c>
      <c r="E24" s="3"/>
      <c r="F24" s="10">
        <f t="shared" si="0"/>
        <v>36</v>
      </c>
      <c r="G24" s="1">
        <v>0.1</v>
      </c>
      <c r="H24" s="19">
        <f t="shared" ref="H24:H31" si="1">G24*(B24+C24)</f>
        <v>2.4000000000000004</v>
      </c>
    </row>
    <row r="25" spans="1:8" x14ac:dyDescent="0.25">
      <c r="A25" s="5" t="s">
        <v>97</v>
      </c>
      <c r="B25" s="7">
        <v>20</v>
      </c>
      <c r="C25" s="7"/>
      <c r="D25" s="3">
        <v>3</v>
      </c>
      <c r="E25" s="3"/>
      <c r="F25" s="10">
        <f t="shared" si="0"/>
        <v>60</v>
      </c>
      <c r="G25" s="1">
        <v>0.25</v>
      </c>
      <c r="H25" s="19">
        <f t="shared" si="1"/>
        <v>5</v>
      </c>
    </row>
    <row r="26" spans="1:8" x14ac:dyDescent="0.25">
      <c r="A26" s="5"/>
      <c r="B26" s="7"/>
      <c r="C26" s="7"/>
      <c r="D26" s="3"/>
      <c r="E26" s="3"/>
      <c r="F26" s="10">
        <f t="shared" si="0"/>
        <v>0</v>
      </c>
      <c r="G26" s="1"/>
      <c r="H26" s="19">
        <f t="shared" si="1"/>
        <v>0</v>
      </c>
    </row>
    <row r="27" spans="1:8" x14ac:dyDescent="0.25">
      <c r="A27" s="5"/>
      <c r="B27" s="7"/>
      <c r="C27" s="7"/>
      <c r="D27" s="3"/>
      <c r="E27" s="3"/>
      <c r="F27" s="10">
        <f t="shared" si="0"/>
        <v>0</v>
      </c>
      <c r="G27" s="1"/>
      <c r="H27" s="19">
        <f t="shared" si="1"/>
        <v>0</v>
      </c>
    </row>
    <row r="28" spans="1:8" x14ac:dyDescent="0.25">
      <c r="A28" s="5"/>
      <c r="B28" s="7"/>
      <c r="C28" s="7"/>
      <c r="D28" s="3"/>
      <c r="E28" s="3"/>
      <c r="F28" s="10">
        <f t="shared" si="0"/>
        <v>0</v>
      </c>
      <c r="G28" s="1"/>
      <c r="H28" s="19">
        <f t="shared" si="1"/>
        <v>0</v>
      </c>
    </row>
    <row r="29" spans="1:8" x14ac:dyDescent="0.25">
      <c r="A29" s="5"/>
      <c r="B29" s="7"/>
      <c r="C29" s="7"/>
      <c r="D29" s="3"/>
      <c r="E29" s="3"/>
      <c r="F29" s="10">
        <f t="shared" si="0"/>
        <v>0</v>
      </c>
      <c r="G29" s="1"/>
      <c r="H29" s="19">
        <f t="shared" si="1"/>
        <v>0</v>
      </c>
    </row>
    <row r="30" spans="1:8" x14ac:dyDescent="0.25">
      <c r="A30" s="5"/>
      <c r="B30" s="7"/>
      <c r="C30" s="7"/>
      <c r="D30" s="3"/>
      <c r="E30" s="3"/>
      <c r="F30" s="10">
        <f t="shared" si="0"/>
        <v>0</v>
      </c>
      <c r="G30" s="1"/>
      <c r="H30" s="19">
        <f t="shared" si="1"/>
        <v>0</v>
      </c>
    </row>
    <row r="31" spans="1:8" x14ac:dyDescent="0.25">
      <c r="A31" s="5"/>
      <c r="B31" s="7"/>
      <c r="C31" s="7"/>
      <c r="D31" s="3"/>
      <c r="E31" s="3"/>
      <c r="F31" s="10">
        <f t="shared" si="0"/>
        <v>0</v>
      </c>
      <c r="G31" s="1"/>
      <c r="H31" s="19">
        <f t="shared" si="1"/>
        <v>0</v>
      </c>
    </row>
    <row r="32" spans="1:8" s="11" customFormat="1" x14ac:dyDescent="0.25">
      <c r="A32" s="11" t="s">
        <v>80</v>
      </c>
      <c r="B32" s="13">
        <f>SUM(B21:B31)</f>
        <v>260</v>
      </c>
      <c r="C32" s="13">
        <f>SUM(C21:C31)</f>
        <v>120</v>
      </c>
      <c r="D32" s="18"/>
      <c r="E32" s="18"/>
      <c r="F32" s="18">
        <f t="shared" ref="F32:H32" si="2">SUM(F21:F31)</f>
        <v>464</v>
      </c>
      <c r="G32" s="18"/>
      <c r="H32" s="18">
        <f t="shared" si="2"/>
        <v>42.6</v>
      </c>
    </row>
    <row r="33" spans="1:5" x14ac:dyDescent="0.25">
      <c r="B33" s="1"/>
      <c r="C33" s="1"/>
      <c r="D33" s="1"/>
      <c r="E33" s="2"/>
    </row>
    <row r="35" spans="1:5" x14ac:dyDescent="0.25">
      <c r="A35" t="s">
        <v>12</v>
      </c>
      <c r="B35" s="12">
        <f>(F32-(H32+B8))*(1-B11)</f>
        <v>366.76670000000001</v>
      </c>
    </row>
    <row r="36" spans="1:5" x14ac:dyDescent="0.25">
      <c r="A36" t="s">
        <v>23</v>
      </c>
      <c r="B36" s="12">
        <f>B35/B5</f>
        <v>183.38335000000001</v>
      </c>
    </row>
    <row r="37" spans="1:5" x14ac:dyDescent="0.25">
      <c r="A37" t="s">
        <v>88</v>
      </c>
      <c r="B37" s="12">
        <f>B35/B6</f>
        <v>244.51113333333333</v>
      </c>
    </row>
    <row r="38" spans="1:5" x14ac:dyDescent="0.25">
      <c r="A38" t="s">
        <v>143</v>
      </c>
    </row>
    <row r="40" spans="1:5" x14ac:dyDescent="0.25">
      <c r="A40" t="s">
        <v>92</v>
      </c>
      <c r="B40" s="24">
        <f>F16/(B6*11.1)</f>
        <v>0.7282282282282283</v>
      </c>
    </row>
  </sheetData>
  <customSheetViews>
    <customSheetView guid="{F2E49352-58FF-1A45-865A-C9D4D8B13EFB}">
      <selection activeCell="A2" sqref="A2"/>
      <pageMargins left="0.7" right="0.7" top="0.75" bottom="0.75" header="0.3" footer="0.3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96E29C1C-0447-42D1-AB2E-4693E54A4DC8}">
      <selection activeCell="A2" sqref="A2"/>
      <pageMargins left="0.75" right="0.75" top="1" bottom="1" header="0.5" footer="0.5"/>
      <pageSetup orientation="portrait" horizontalDpi="360" verticalDpi="360"/>
    </customSheetView>
  </customSheetViews>
  <mergeCells count="3">
    <mergeCell ref="B19:C19"/>
    <mergeCell ref="D19:E19"/>
    <mergeCell ref="G19:H1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6" sqref="E16:E17"/>
    </sheetView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3.42578125" bestFit="1" customWidth="1"/>
    <col min="4" max="4" width="11.28515625" bestFit="1" customWidth="1"/>
    <col min="5" max="5" width="10.140625" bestFit="1" customWidth="1"/>
    <col min="6" max="6" width="7" customWidth="1"/>
    <col min="7" max="7" width="10.140625" bestFit="1" customWidth="1"/>
    <col min="8" max="8" width="13.140625" bestFit="1" customWidth="1"/>
  </cols>
  <sheetData>
    <row r="1" spans="1:8" x14ac:dyDescent="0.25">
      <c r="A1" s="9" t="s">
        <v>153</v>
      </c>
    </row>
    <row r="2" spans="1:8" x14ac:dyDescent="0.25">
      <c r="A2" s="37" t="s">
        <v>161</v>
      </c>
    </row>
    <row r="4" spans="1:8" x14ac:dyDescent="0.25">
      <c r="B4" t="s">
        <v>24</v>
      </c>
      <c r="C4" s="5">
        <v>3</v>
      </c>
    </row>
    <row r="5" spans="1:8" x14ac:dyDescent="0.25">
      <c r="B5" t="s">
        <v>19</v>
      </c>
      <c r="C5" s="5">
        <v>2</v>
      </c>
    </row>
    <row r="6" spans="1:8" x14ac:dyDescent="0.25">
      <c r="B6" t="s">
        <v>18</v>
      </c>
      <c r="C6" s="3">
        <v>2.75</v>
      </c>
    </row>
    <row r="7" spans="1:8" x14ac:dyDescent="0.25">
      <c r="B7" t="s">
        <v>134</v>
      </c>
      <c r="C7" s="3">
        <v>1600</v>
      </c>
    </row>
    <row r="8" spans="1:8" x14ac:dyDescent="0.25">
      <c r="B8" t="s">
        <v>135</v>
      </c>
      <c r="C8" s="7">
        <v>1000</v>
      </c>
    </row>
    <row r="9" spans="1:8" x14ac:dyDescent="0.25">
      <c r="B9" t="s">
        <v>137</v>
      </c>
      <c r="C9" s="21">
        <v>0.05</v>
      </c>
    </row>
    <row r="10" spans="1:8" x14ac:dyDescent="0.25">
      <c r="C10" s="36"/>
    </row>
    <row r="11" spans="1:8" x14ac:dyDescent="0.25">
      <c r="C11" s="4"/>
      <c r="D11" s="43" t="s">
        <v>46</v>
      </c>
      <c r="E11" s="43"/>
      <c r="F11" s="43" t="s">
        <v>47</v>
      </c>
      <c r="G11" s="43"/>
    </row>
    <row r="12" spans="1:8" x14ac:dyDescent="0.25">
      <c r="A12" s="1" t="s">
        <v>42</v>
      </c>
      <c r="C12" t="s">
        <v>22</v>
      </c>
      <c r="D12" t="s">
        <v>28</v>
      </c>
      <c r="E12" t="s">
        <v>25</v>
      </c>
      <c r="F12" t="s">
        <v>28</v>
      </c>
      <c r="G12" t="s">
        <v>25</v>
      </c>
      <c r="H12" t="s">
        <v>11</v>
      </c>
    </row>
    <row r="13" spans="1:8" x14ac:dyDescent="0.25">
      <c r="A13" s="5">
        <v>16</v>
      </c>
      <c r="B13" t="s">
        <v>20</v>
      </c>
      <c r="C13" s="3">
        <v>1</v>
      </c>
      <c r="D13" s="3">
        <v>8</v>
      </c>
      <c r="E13" s="3">
        <f>D13*0.75</f>
        <v>6</v>
      </c>
      <c r="F13" s="7">
        <v>16</v>
      </c>
      <c r="G13" s="7"/>
      <c r="H13" s="12">
        <f>(F13*D13)+(G13*E13)</f>
        <v>128</v>
      </c>
    </row>
    <row r="14" spans="1:8" x14ac:dyDescent="0.25">
      <c r="A14" s="5">
        <v>9</v>
      </c>
      <c r="B14" t="s">
        <v>21</v>
      </c>
      <c r="C14" s="3">
        <v>1.1499999999999999</v>
      </c>
      <c r="D14" s="3">
        <v>14</v>
      </c>
      <c r="E14" s="3">
        <v>10</v>
      </c>
      <c r="F14" s="7">
        <v>9</v>
      </c>
      <c r="G14" s="7"/>
      <c r="H14" s="12">
        <f>(F14*D14)+(G14*E14)</f>
        <v>126</v>
      </c>
    </row>
    <row r="15" spans="1:8" x14ac:dyDescent="0.25">
      <c r="C15" s="1"/>
      <c r="D15" s="1"/>
      <c r="E15" s="1"/>
      <c r="F15" s="1"/>
      <c r="G15" s="1"/>
      <c r="H15" s="2"/>
    </row>
    <row r="16" spans="1:8" x14ac:dyDescent="0.25">
      <c r="B16" t="s">
        <v>90</v>
      </c>
      <c r="C16" s="12">
        <f>C5*11.1*C6</f>
        <v>61.05</v>
      </c>
    </row>
    <row r="17" spans="1:3" x14ac:dyDescent="0.25">
      <c r="B17" t="s">
        <v>22</v>
      </c>
      <c r="C17" s="12">
        <f>C14*A14+C13*A13</f>
        <v>26.35</v>
      </c>
    </row>
    <row r="18" spans="1:3" x14ac:dyDescent="0.25">
      <c r="B18" t="s">
        <v>136</v>
      </c>
      <c r="C18" s="12">
        <f>(C7/C8)*((A13/2)+A14)</f>
        <v>27.200000000000003</v>
      </c>
    </row>
    <row r="19" spans="1:3" x14ac:dyDescent="0.25">
      <c r="A19" s="1"/>
      <c r="B19" t="s">
        <v>11</v>
      </c>
      <c r="C19" s="12">
        <f>(H14+H13)*(1-C9)</f>
        <v>241.29999999999998</v>
      </c>
    </row>
    <row r="20" spans="1:3" x14ac:dyDescent="0.25">
      <c r="A20" s="2"/>
      <c r="B20" t="s">
        <v>12</v>
      </c>
      <c r="C20" s="12">
        <f>C19-(C16+C17+C18)</f>
        <v>126.69999999999997</v>
      </c>
    </row>
    <row r="21" spans="1:3" x14ac:dyDescent="0.25">
      <c r="A21" s="2"/>
      <c r="B21" t="s">
        <v>23</v>
      </c>
      <c r="C21" s="12">
        <f>C20/C4</f>
        <v>42.233333333333327</v>
      </c>
    </row>
    <row r="22" spans="1:3" x14ac:dyDescent="0.25">
      <c r="B22" t="s">
        <v>89</v>
      </c>
      <c r="C22" s="12">
        <f>C20/C5</f>
        <v>63.349999999999987</v>
      </c>
    </row>
    <row r="23" spans="1:3" x14ac:dyDescent="0.25">
      <c r="A23" t="s">
        <v>138</v>
      </c>
    </row>
    <row r="25" spans="1:3" x14ac:dyDescent="0.25">
      <c r="B25" t="s">
        <v>91</v>
      </c>
      <c r="C25" s="14">
        <f>((A13/2)+A14)/(C5*11.1)</f>
        <v>0.76576576576576583</v>
      </c>
    </row>
  </sheetData>
  <customSheetViews>
    <customSheetView guid="{F2E49352-58FF-1A45-865A-C9D4D8B13EFB}">
      <selection activeCell="A2" sqref="A2"/>
      <pageMargins left="0.7" right="0.7" top="0.75" bottom="0.75" header="0.3" footer="0.3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96E29C1C-0447-42D1-AB2E-4693E54A4DC8}">
      <selection activeCell="A2" sqref="A2"/>
      <pageMargins left="0.75" right="0.75" top="1" bottom="1" header="0.5" footer="0.5"/>
    </customSheetView>
  </customSheetViews>
  <mergeCells count="2">
    <mergeCell ref="D11:E11"/>
    <mergeCell ref="F11:G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workbookViewId="0">
      <selection activeCell="A30" sqref="A30"/>
    </sheetView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5.85546875" bestFit="1" customWidth="1"/>
    <col min="4" max="4" width="11.28515625" bestFit="1" customWidth="1"/>
    <col min="5" max="5" width="10.140625" bestFit="1" customWidth="1"/>
    <col min="6" max="6" width="8.140625" customWidth="1"/>
    <col min="7" max="7" width="10.42578125" customWidth="1"/>
    <col min="8" max="8" width="13.140625" bestFit="1" customWidth="1"/>
  </cols>
  <sheetData>
    <row r="1" spans="1:16384" x14ac:dyDescent="0.25">
      <c r="A1" s="9" t="s">
        <v>151</v>
      </c>
    </row>
    <row r="2" spans="1:16384" x14ac:dyDescent="0.25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7"/>
      <c r="XDA2" s="37"/>
      <c r="XDB2" s="37"/>
      <c r="XDC2" s="37"/>
      <c r="XDD2" s="37"/>
      <c r="XDE2" s="37"/>
      <c r="XDF2" s="37"/>
      <c r="XDG2" s="37"/>
      <c r="XDH2" s="37"/>
      <c r="XDI2" s="37"/>
      <c r="XDJ2" s="37"/>
      <c r="XDK2" s="37"/>
      <c r="XDL2" s="37"/>
      <c r="XDM2" s="37"/>
      <c r="XDN2" s="37"/>
      <c r="XDO2" s="37"/>
      <c r="XDP2" s="37"/>
      <c r="XDQ2" s="37"/>
      <c r="XDR2" s="37"/>
      <c r="XDS2" s="37"/>
      <c r="XDT2" s="37"/>
      <c r="XDU2" s="37"/>
      <c r="XDV2" s="37"/>
      <c r="XDW2" s="37"/>
      <c r="XDX2" s="37"/>
      <c r="XDY2" s="37"/>
      <c r="XDZ2" s="37"/>
      <c r="XEA2" s="37"/>
      <c r="XEB2" s="37"/>
      <c r="XEC2" s="37"/>
      <c r="XED2" s="37"/>
      <c r="XEE2" s="37"/>
      <c r="XEF2" s="37"/>
      <c r="XEG2" s="37"/>
      <c r="XEH2" s="37"/>
      <c r="XEI2" s="37"/>
      <c r="XEJ2" s="37"/>
      <c r="XEK2" s="37"/>
      <c r="XEL2" s="37"/>
      <c r="XEM2" s="37"/>
      <c r="XEN2" s="37"/>
      <c r="XEO2" s="37"/>
      <c r="XEP2" s="37"/>
      <c r="XEQ2" s="37"/>
      <c r="XER2" s="37"/>
      <c r="XES2" s="37"/>
      <c r="XET2" s="37"/>
      <c r="XEU2" s="37"/>
      <c r="XEV2" s="37"/>
      <c r="XEW2" s="37"/>
      <c r="XEX2" s="37"/>
      <c r="XEY2" s="37"/>
      <c r="XEZ2" s="37"/>
      <c r="XFA2" s="37"/>
      <c r="XFB2" s="37"/>
      <c r="XFC2" s="37"/>
      <c r="XFD2" s="37"/>
    </row>
    <row r="3" spans="1:1638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  <c r="WUX3" s="37"/>
      <c r="WUY3" s="37"/>
      <c r="WUZ3" s="37"/>
      <c r="WVA3" s="37"/>
      <c r="WVB3" s="37"/>
      <c r="WVC3" s="37"/>
      <c r="WVD3" s="37"/>
      <c r="WVE3" s="37"/>
      <c r="WVF3" s="37"/>
      <c r="WVG3" s="37"/>
      <c r="WVH3" s="37"/>
      <c r="WVI3" s="37"/>
      <c r="WVJ3" s="37"/>
      <c r="WVK3" s="37"/>
      <c r="WVL3" s="37"/>
      <c r="WVM3" s="37"/>
      <c r="WVN3" s="37"/>
      <c r="WVO3" s="37"/>
      <c r="WVP3" s="37"/>
      <c r="WVQ3" s="37"/>
      <c r="WVR3" s="37"/>
      <c r="WVS3" s="37"/>
      <c r="WVT3" s="37"/>
      <c r="WVU3" s="37"/>
      <c r="WVV3" s="37"/>
      <c r="WVW3" s="37"/>
      <c r="WVX3" s="37"/>
      <c r="WVY3" s="37"/>
      <c r="WVZ3" s="37"/>
      <c r="WWA3" s="37"/>
      <c r="WWB3" s="37"/>
      <c r="WWC3" s="37"/>
      <c r="WWD3" s="37"/>
      <c r="WWE3" s="37"/>
      <c r="WWF3" s="37"/>
      <c r="WWG3" s="37"/>
      <c r="WWH3" s="37"/>
      <c r="WWI3" s="37"/>
      <c r="WWJ3" s="37"/>
      <c r="WWK3" s="37"/>
      <c r="WWL3" s="37"/>
      <c r="WWM3" s="37"/>
      <c r="WWN3" s="37"/>
      <c r="WWO3" s="37"/>
      <c r="WWP3" s="37"/>
      <c r="WWQ3" s="37"/>
      <c r="WWR3" s="37"/>
      <c r="WWS3" s="37"/>
      <c r="WWT3" s="37"/>
      <c r="WWU3" s="37"/>
      <c r="WWV3" s="37"/>
      <c r="WWW3" s="37"/>
      <c r="WWX3" s="37"/>
      <c r="WWY3" s="37"/>
      <c r="WWZ3" s="37"/>
      <c r="WXA3" s="37"/>
      <c r="WXB3" s="37"/>
      <c r="WXC3" s="37"/>
      <c r="WXD3" s="37"/>
      <c r="WXE3" s="37"/>
      <c r="WXF3" s="37"/>
      <c r="WXG3" s="37"/>
      <c r="WXH3" s="37"/>
      <c r="WXI3" s="37"/>
      <c r="WXJ3" s="37"/>
      <c r="WXK3" s="37"/>
      <c r="WXL3" s="37"/>
      <c r="WXM3" s="37"/>
      <c r="WXN3" s="37"/>
      <c r="WXO3" s="37"/>
      <c r="WXP3" s="37"/>
      <c r="WXQ3" s="37"/>
      <c r="WXR3" s="37"/>
      <c r="WXS3" s="37"/>
      <c r="WXT3" s="37"/>
      <c r="WXU3" s="37"/>
      <c r="WXV3" s="37"/>
      <c r="WXW3" s="37"/>
      <c r="WXX3" s="37"/>
      <c r="WXY3" s="37"/>
      <c r="WXZ3" s="37"/>
      <c r="WYA3" s="37"/>
      <c r="WYB3" s="37"/>
      <c r="WYC3" s="37"/>
      <c r="WYD3" s="37"/>
      <c r="WYE3" s="37"/>
      <c r="WYF3" s="37"/>
      <c r="WYG3" s="37"/>
      <c r="WYH3" s="37"/>
      <c r="WYI3" s="37"/>
      <c r="WYJ3" s="37"/>
      <c r="WYK3" s="37"/>
      <c r="WYL3" s="37"/>
      <c r="WYM3" s="37"/>
      <c r="WYN3" s="37"/>
      <c r="WYO3" s="37"/>
      <c r="WYP3" s="37"/>
      <c r="WYQ3" s="37"/>
      <c r="WYR3" s="37"/>
      <c r="WYS3" s="37"/>
      <c r="WYT3" s="37"/>
      <c r="WYU3" s="37"/>
      <c r="WYV3" s="37"/>
      <c r="WYW3" s="37"/>
      <c r="WYX3" s="37"/>
      <c r="WYY3" s="37"/>
      <c r="WYZ3" s="37"/>
      <c r="WZA3" s="37"/>
      <c r="WZB3" s="37"/>
      <c r="WZC3" s="37"/>
      <c r="WZD3" s="37"/>
      <c r="WZE3" s="37"/>
      <c r="WZF3" s="37"/>
      <c r="WZG3" s="37"/>
      <c r="WZH3" s="37"/>
      <c r="WZI3" s="37"/>
      <c r="WZJ3" s="37"/>
      <c r="WZK3" s="37"/>
      <c r="WZL3" s="37"/>
      <c r="WZM3" s="37"/>
      <c r="WZN3" s="37"/>
      <c r="WZO3" s="37"/>
      <c r="WZP3" s="37"/>
      <c r="WZQ3" s="37"/>
      <c r="WZR3" s="37"/>
      <c r="WZS3" s="37"/>
      <c r="WZT3" s="37"/>
      <c r="WZU3" s="37"/>
      <c r="WZV3" s="37"/>
      <c r="WZW3" s="37"/>
      <c r="WZX3" s="37"/>
      <c r="WZY3" s="37"/>
      <c r="WZZ3" s="37"/>
      <c r="XAA3" s="37"/>
      <c r="XAB3" s="37"/>
      <c r="XAC3" s="37"/>
      <c r="XAD3" s="37"/>
      <c r="XAE3" s="37"/>
      <c r="XAF3" s="37"/>
      <c r="XAG3" s="37"/>
      <c r="XAH3" s="37"/>
      <c r="XAI3" s="37"/>
      <c r="XAJ3" s="37"/>
      <c r="XAK3" s="37"/>
      <c r="XAL3" s="37"/>
      <c r="XAM3" s="37"/>
      <c r="XAN3" s="37"/>
      <c r="XAO3" s="37"/>
      <c r="XAP3" s="37"/>
      <c r="XAQ3" s="37"/>
      <c r="XAR3" s="37"/>
      <c r="XAS3" s="37"/>
      <c r="XAT3" s="37"/>
      <c r="XAU3" s="37"/>
      <c r="XAV3" s="37"/>
      <c r="XAW3" s="37"/>
      <c r="XAX3" s="37"/>
      <c r="XAY3" s="37"/>
      <c r="XAZ3" s="37"/>
      <c r="XBA3" s="37"/>
      <c r="XBB3" s="37"/>
      <c r="XBC3" s="37"/>
      <c r="XBD3" s="37"/>
      <c r="XBE3" s="37"/>
      <c r="XBF3" s="37"/>
      <c r="XBG3" s="37"/>
      <c r="XBH3" s="37"/>
      <c r="XBI3" s="37"/>
      <c r="XBJ3" s="37"/>
      <c r="XBK3" s="37"/>
      <c r="XBL3" s="37"/>
      <c r="XBM3" s="37"/>
      <c r="XBN3" s="37"/>
      <c r="XBO3" s="37"/>
      <c r="XBP3" s="37"/>
      <c r="XBQ3" s="37"/>
      <c r="XBR3" s="37"/>
      <c r="XBS3" s="37"/>
      <c r="XBT3" s="37"/>
      <c r="XBU3" s="37"/>
      <c r="XBV3" s="37"/>
      <c r="XBW3" s="37"/>
      <c r="XBX3" s="37"/>
      <c r="XBY3" s="37"/>
      <c r="XBZ3" s="37"/>
      <c r="XCA3" s="37"/>
      <c r="XCB3" s="37"/>
      <c r="XCC3" s="37"/>
      <c r="XCD3" s="37"/>
      <c r="XCE3" s="37"/>
      <c r="XCF3" s="37"/>
      <c r="XCG3" s="37"/>
      <c r="XCH3" s="37"/>
      <c r="XCI3" s="37"/>
      <c r="XCJ3" s="37"/>
      <c r="XCK3" s="37"/>
      <c r="XCL3" s="37"/>
      <c r="XCM3" s="37"/>
      <c r="XCN3" s="37"/>
      <c r="XCO3" s="37"/>
      <c r="XCP3" s="37"/>
      <c r="XCQ3" s="37"/>
      <c r="XCR3" s="37"/>
      <c r="XCS3" s="37"/>
      <c r="XCT3" s="37"/>
      <c r="XCU3" s="37"/>
      <c r="XCV3" s="37"/>
      <c r="XCW3" s="37"/>
      <c r="XCX3" s="37"/>
      <c r="XCY3" s="37"/>
      <c r="XCZ3" s="37"/>
      <c r="XDA3" s="37"/>
      <c r="XDB3" s="37"/>
      <c r="XDC3" s="37"/>
      <c r="XDD3" s="37"/>
      <c r="XDE3" s="37"/>
      <c r="XDF3" s="37"/>
      <c r="XDG3" s="37"/>
      <c r="XDH3" s="37"/>
      <c r="XDI3" s="37"/>
      <c r="XDJ3" s="37"/>
      <c r="XDK3" s="37"/>
      <c r="XDL3" s="37"/>
      <c r="XDM3" s="37"/>
      <c r="XDN3" s="37"/>
      <c r="XDO3" s="37"/>
      <c r="XDP3" s="37"/>
      <c r="XDQ3" s="37"/>
      <c r="XDR3" s="37"/>
      <c r="XDS3" s="37"/>
      <c r="XDT3" s="37"/>
      <c r="XDU3" s="37"/>
      <c r="XDV3" s="37"/>
      <c r="XDW3" s="37"/>
      <c r="XDX3" s="37"/>
      <c r="XDY3" s="37"/>
      <c r="XDZ3" s="37"/>
      <c r="XEA3" s="37"/>
      <c r="XEB3" s="37"/>
      <c r="XEC3" s="37"/>
      <c r="XED3" s="37"/>
      <c r="XEE3" s="37"/>
      <c r="XEF3" s="37"/>
      <c r="XEG3" s="37"/>
      <c r="XEH3" s="37"/>
      <c r="XEI3" s="37"/>
      <c r="XEJ3" s="37"/>
      <c r="XEK3" s="37"/>
      <c r="XEL3" s="37"/>
      <c r="XEM3" s="37"/>
      <c r="XEN3" s="37"/>
      <c r="XEO3" s="37"/>
      <c r="XEP3" s="37"/>
      <c r="XEQ3" s="37"/>
      <c r="XER3" s="37"/>
      <c r="XES3" s="37"/>
      <c r="XET3" s="37"/>
      <c r="XEU3" s="37"/>
      <c r="XEV3" s="37"/>
      <c r="XEW3" s="37"/>
      <c r="XEX3" s="37"/>
      <c r="XEY3" s="37"/>
      <c r="XEZ3" s="37"/>
      <c r="XFA3" s="37"/>
      <c r="XFB3" s="37"/>
      <c r="XFC3" s="37"/>
      <c r="XFD3" s="37"/>
    </row>
    <row r="4" spans="1:16384" x14ac:dyDescent="0.25">
      <c r="B4" t="s">
        <v>48</v>
      </c>
      <c r="C4" s="5">
        <v>3</v>
      </c>
    </row>
    <row r="5" spans="1:16384" x14ac:dyDescent="0.25">
      <c r="B5" t="s">
        <v>19</v>
      </c>
      <c r="C5" s="5">
        <v>1.5</v>
      </c>
    </row>
    <row r="6" spans="1:16384" x14ac:dyDescent="0.25">
      <c r="B6" t="s">
        <v>18</v>
      </c>
      <c r="C6" s="3">
        <v>2.7</v>
      </c>
    </row>
    <row r="7" spans="1:16384" x14ac:dyDescent="0.25">
      <c r="B7" t="s">
        <v>85</v>
      </c>
      <c r="C7" s="17">
        <f>C6*11.1</f>
        <v>29.970000000000002</v>
      </c>
    </row>
    <row r="8" spans="1:16384" x14ac:dyDescent="0.25">
      <c r="B8" t="s">
        <v>144</v>
      </c>
      <c r="C8" s="3">
        <v>1600</v>
      </c>
    </row>
    <row r="9" spans="1:16384" x14ac:dyDescent="0.25">
      <c r="B9" t="s">
        <v>145</v>
      </c>
      <c r="C9" s="7">
        <v>600</v>
      </c>
    </row>
    <row r="10" spans="1:16384" x14ac:dyDescent="0.25">
      <c r="B10" t="s">
        <v>146</v>
      </c>
      <c r="C10" s="21">
        <v>0.05</v>
      </c>
    </row>
    <row r="11" spans="1:16384" x14ac:dyDescent="0.25">
      <c r="C11" s="36"/>
    </row>
    <row r="12" spans="1:16384" x14ac:dyDescent="0.25">
      <c r="C12" s="4"/>
      <c r="D12" s="43" t="s">
        <v>53</v>
      </c>
      <c r="E12" s="43"/>
      <c r="F12" s="43" t="s">
        <v>54</v>
      </c>
      <c r="G12" s="43"/>
    </row>
    <row r="13" spans="1:16384" x14ac:dyDescent="0.25">
      <c r="A13" s="1" t="s">
        <v>42</v>
      </c>
      <c r="C13" t="s">
        <v>51</v>
      </c>
      <c r="D13" t="s">
        <v>28</v>
      </c>
      <c r="E13" t="s">
        <v>25</v>
      </c>
      <c r="F13" t="s">
        <v>28</v>
      </c>
      <c r="G13" t="s">
        <v>25</v>
      </c>
      <c r="H13" t="s">
        <v>11</v>
      </c>
    </row>
    <row r="14" spans="1:16384" x14ac:dyDescent="0.25">
      <c r="A14" s="5">
        <v>18</v>
      </c>
      <c r="B14" t="s">
        <v>49</v>
      </c>
      <c r="C14" s="3">
        <v>1</v>
      </c>
      <c r="D14" s="3">
        <v>8</v>
      </c>
      <c r="E14" s="3">
        <f>D14*0.75</f>
        <v>6</v>
      </c>
      <c r="F14" s="7">
        <v>10</v>
      </c>
      <c r="G14" s="7">
        <v>6</v>
      </c>
      <c r="H14" s="12">
        <f>(F14*D14)+(G14*E14)</f>
        <v>116</v>
      </c>
    </row>
    <row r="15" spans="1:16384" x14ac:dyDescent="0.25">
      <c r="A15" s="5">
        <v>6</v>
      </c>
      <c r="B15" t="s">
        <v>50</v>
      </c>
      <c r="C15" s="3">
        <v>1.1499999999999999</v>
      </c>
      <c r="D15" s="3">
        <v>14</v>
      </c>
      <c r="E15" s="3">
        <v>10</v>
      </c>
      <c r="F15" s="7">
        <v>5</v>
      </c>
      <c r="G15" s="7">
        <v>4</v>
      </c>
      <c r="H15" s="12">
        <f>(F15*D15)+(G15*E15)</f>
        <v>110</v>
      </c>
    </row>
    <row r="16" spans="1:16384" x14ac:dyDescent="0.25">
      <c r="A16" s="5">
        <v>4</v>
      </c>
      <c r="B16" t="s">
        <v>52</v>
      </c>
      <c r="C16" s="3">
        <v>0.65</v>
      </c>
      <c r="D16" s="3">
        <v>14</v>
      </c>
      <c r="E16" s="3">
        <v>10</v>
      </c>
      <c r="F16" s="7">
        <v>3</v>
      </c>
      <c r="G16" s="7">
        <v>3</v>
      </c>
      <c r="H16" s="12">
        <f>(F16*D16)+(G16*E16)</f>
        <v>72</v>
      </c>
    </row>
    <row r="17" spans="1:8" x14ac:dyDescent="0.25">
      <c r="C17" s="1"/>
      <c r="D17" s="1"/>
      <c r="E17" s="1"/>
      <c r="F17" s="1"/>
      <c r="G17" s="1"/>
      <c r="H17" s="2"/>
    </row>
    <row r="18" spans="1:8" x14ac:dyDescent="0.25">
      <c r="C18" s="1"/>
      <c r="D18" s="1"/>
      <c r="E18" s="1"/>
      <c r="F18" s="1"/>
      <c r="G18" s="1"/>
      <c r="H18" s="2"/>
    </row>
    <row r="19" spans="1:8" x14ac:dyDescent="0.25">
      <c r="B19" t="s">
        <v>86</v>
      </c>
      <c r="C19" s="12">
        <f>C5*11.1*C6</f>
        <v>44.954999999999998</v>
      </c>
    </row>
    <row r="20" spans="1:8" x14ac:dyDescent="0.25">
      <c r="B20" t="s">
        <v>99</v>
      </c>
      <c r="C20" s="11">
        <f>A16+(A15/2)+(A14/4)</f>
        <v>11.5</v>
      </c>
    </row>
    <row r="21" spans="1:8" x14ac:dyDescent="0.25">
      <c r="A21" s="1"/>
      <c r="B21" t="s">
        <v>55</v>
      </c>
      <c r="C21" s="12">
        <f>C15*A15+C14*A14</f>
        <v>24.9</v>
      </c>
    </row>
    <row r="22" spans="1:8" x14ac:dyDescent="0.25">
      <c r="A22" s="1"/>
      <c r="B22" t="s">
        <v>136</v>
      </c>
      <c r="C22" s="12">
        <f>(C8/C9)*((A14/4)+(A15/2)+A16)</f>
        <v>30.666666666666664</v>
      </c>
    </row>
    <row r="23" spans="1:8" x14ac:dyDescent="0.25">
      <c r="A23" s="2"/>
      <c r="B23" t="s">
        <v>12</v>
      </c>
      <c r="C23" s="12">
        <f>((H16+H15+H14)-(C21+C19+C22))*(1-C10)</f>
        <v>187.60441666666668</v>
      </c>
    </row>
    <row r="24" spans="1:8" x14ac:dyDescent="0.25">
      <c r="A24" s="2"/>
      <c r="B24" t="s">
        <v>23</v>
      </c>
      <c r="C24" s="12">
        <f>C23/C4</f>
        <v>62.534805555555558</v>
      </c>
    </row>
    <row r="25" spans="1:8" x14ac:dyDescent="0.25">
      <c r="A25" s="2"/>
      <c r="B25" t="s">
        <v>84</v>
      </c>
      <c r="C25" s="12">
        <f>C23/C5</f>
        <v>125.06961111111112</v>
      </c>
    </row>
    <row r="27" spans="1:8" x14ac:dyDescent="0.25">
      <c r="A27" t="s">
        <v>162</v>
      </c>
    </row>
    <row r="29" spans="1:8" x14ac:dyDescent="0.25">
      <c r="B29" t="s">
        <v>98</v>
      </c>
      <c r="C29" s="14">
        <f>C20/(C5*11.1)</f>
        <v>0.69069069069069078</v>
      </c>
    </row>
  </sheetData>
  <customSheetViews>
    <customSheetView guid="{F2E49352-58FF-1A45-865A-C9D4D8B13EFB}">
      <selection activeCell="A28" sqref="A28"/>
      <pageMargins left="0.7" right="0.7" top="0.75" bottom="0.75" header="0.3" footer="0.3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96E29C1C-0447-42D1-AB2E-4693E54A4DC8}">
      <selection activeCell="A30" sqref="A30"/>
      <pageMargins left="0.75" right="0.75" top="1" bottom="1" header="0.5" footer="0.5"/>
    </customSheetView>
  </customSheetViews>
  <mergeCells count="2">
    <mergeCell ref="D12:E12"/>
    <mergeCell ref="F12:G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8" sqref="J18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</cols>
  <sheetData>
    <row r="1" spans="1:6" x14ac:dyDescent="0.25">
      <c r="A1" s="9" t="s">
        <v>149</v>
      </c>
    </row>
    <row r="2" spans="1:6" x14ac:dyDescent="0.25">
      <c r="A2" s="37" t="s">
        <v>161</v>
      </c>
    </row>
    <row r="4" spans="1:6" x14ac:dyDescent="0.25">
      <c r="A4" s="3">
        <v>7.05</v>
      </c>
      <c r="B4" t="s">
        <v>147</v>
      </c>
    </row>
    <row r="5" spans="1:6" x14ac:dyDescent="0.25">
      <c r="A5" s="10">
        <f>A4/16</f>
        <v>0.44062499999999999</v>
      </c>
      <c r="B5" t="s">
        <v>148</v>
      </c>
    </row>
    <row r="6" spans="1:6" x14ac:dyDescent="0.25">
      <c r="A6" s="7">
        <v>50</v>
      </c>
      <c r="B6" t="s">
        <v>124</v>
      </c>
    </row>
    <row r="7" spans="1:6" x14ac:dyDescent="0.25">
      <c r="A7" s="3">
        <v>94.5</v>
      </c>
      <c r="B7" t="s">
        <v>125</v>
      </c>
    </row>
    <row r="8" spans="1:6" x14ac:dyDescent="0.25">
      <c r="A8" s="10">
        <f>A7/(A6*16)</f>
        <v>0.11812499999999999</v>
      </c>
      <c r="B8" t="s">
        <v>87</v>
      </c>
      <c r="F8" s="2"/>
    </row>
    <row r="10" spans="1:6" x14ac:dyDescent="0.25">
      <c r="A10" s="5">
        <v>1</v>
      </c>
      <c r="B10" t="s">
        <v>0</v>
      </c>
    </row>
    <row r="11" spans="1:6" x14ac:dyDescent="0.25">
      <c r="A11" s="21">
        <v>0.2</v>
      </c>
      <c r="B11" t="s">
        <v>82</v>
      </c>
    </row>
    <row r="12" spans="1:6" x14ac:dyDescent="0.25">
      <c r="A12" s="3">
        <f>(A10*A11*A5)+(A10*((1-A11)*A8))</f>
        <v>0.18262500000000001</v>
      </c>
      <c r="B12" t="s">
        <v>131</v>
      </c>
    </row>
    <row r="13" spans="1:6" x14ac:dyDescent="0.25">
      <c r="A13" s="3">
        <v>0.03</v>
      </c>
      <c r="B13" t="s">
        <v>4</v>
      </c>
    </row>
    <row r="14" spans="1:6" x14ac:dyDescent="0.25">
      <c r="A14" s="3">
        <v>0.01</v>
      </c>
      <c r="B14" t="s">
        <v>1</v>
      </c>
    </row>
    <row r="15" spans="1:6" x14ac:dyDescent="0.25">
      <c r="A15" s="5">
        <v>30</v>
      </c>
      <c r="B15" t="s">
        <v>2</v>
      </c>
    </row>
    <row r="16" spans="1:6" x14ac:dyDescent="0.25">
      <c r="A16" s="3">
        <v>0</v>
      </c>
      <c r="B16" t="s">
        <v>83</v>
      </c>
    </row>
    <row r="17" spans="1:2" x14ac:dyDescent="0.25">
      <c r="A17" s="3">
        <v>4</v>
      </c>
      <c r="B17" t="s">
        <v>3</v>
      </c>
    </row>
    <row r="18" spans="1:2" x14ac:dyDescent="0.25">
      <c r="A18" s="3">
        <v>1400</v>
      </c>
      <c r="B18" t="s">
        <v>128</v>
      </c>
    </row>
    <row r="19" spans="1:2" x14ac:dyDescent="0.25">
      <c r="A19" s="7">
        <v>10000</v>
      </c>
      <c r="B19" t="s">
        <v>126</v>
      </c>
    </row>
    <row r="20" spans="1:2" x14ac:dyDescent="0.25">
      <c r="A20" s="11">
        <f>A18/A19</f>
        <v>0.14000000000000001</v>
      </c>
      <c r="B20" t="s">
        <v>130</v>
      </c>
    </row>
    <row r="21" spans="1:2" x14ac:dyDescent="0.25">
      <c r="A21" s="21">
        <v>0.05</v>
      </c>
      <c r="B21" t="s">
        <v>127</v>
      </c>
    </row>
    <row r="22" spans="1:2" x14ac:dyDescent="0.25">
      <c r="A22" s="1"/>
    </row>
    <row r="23" spans="1:2" x14ac:dyDescent="0.25">
      <c r="A23" s="22">
        <f>A17-((A12+A13+A14+A20)+(A16/A15)+(A12*A21))</f>
        <v>3.6282437500000002</v>
      </c>
      <c r="B23" t="s">
        <v>129</v>
      </c>
    </row>
    <row r="24" spans="1:2" x14ac:dyDescent="0.25">
      <c r="A24" s="22">
        <f>A23*A15</f>
        <v>108.8473125</v>
      </c>
      <c r="B24" t="s">
        <v>5</v>
      </c>
    </row>
    <row r="25" spans="1:2" x14ac:dyDescent="0.25">
      <c r="A25" s="22">
        <f>((116)/(A10*A11))*(A17-(A12+A13+A14+A20+(A12*A21)))</f>
        <v>2104.3813749999999</v>
      </c>
      <c r="B25" t="s">
        <v>132</v>
      </c>
    </row>
    <row r="26" spans="1:2" x14ac:dyDescent="0.25">
      <c r="A26" s="23"/>
      <c r="B26" t="s">
        <v>133</v>
      </c>
    </row>
  </sheetData>
  <customSheetViews>
    <customSheetView guid="{F2E49352-58FF-1A45-865A-C9D4D8B13EFB}">
      <selection activeCell="A2" sqref="A2"/>
      <pageMargins left="0.7" right="0.7" top="0.75" bottom="0.75" header="0.3" footer="0.3"/>
    </customSheetView>
    <customSheetView guid="{4DE7DEC3-C749-114A-BE3F-7BD90B4E536A}">
      <selection activeCell="B32" sqref="B32"/>
      <pageMargins left="0.7" right="0.7" top="0.75" bottom="0.75" header="0.3" footer="0.3"/>
    </customSheetView>
    <customSheetView guid="{96E29C1C-0447-42D1-AB2E-4693E54A4DC8}">
      <selection activeCell="E16" sqref="E16"/>
      <pageMargins left="0.75" right="0.75" top="1" bottom="1" header="0.5" footer="0.5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4" sqref="C4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  <col min="5" max="5" width="20.42578125" customWidth="1"/>
  </cols>
  <sheetData>
    <row r="1" spans="1:5" x14ac:dyDescent="0.25">
      <c r="A1" s="9" t="s">
        <v>150</v>
      </c>
    </row>
    <row r="2" spans="1:5" x14ac:dyDescent="0.25">
      <c r="A2" s="37" t="s">
        <v>161</v>
      </c>
    </row>
    <row r="4" spans="1:5" x14ac:dyDescent="0.25">
      <c r="A4" s="9" t="s">
        <v>114</v>
      </c>
    </row>
    <row r="5" spans="1:5" x14ac:dyDescent="0.25">
      <c r="A5" s="3">
        <v>2.75</v>
      </c>
      <c r="B5" t="s">
        <v>100</v>
      </c>
    </row>
    <row r="6" spans="1:5" x14ac:dyDescent="0.25">
      <c r="A6" s="3">
        <v>0.99</v>
      </c>
      <c r="B6" t="s">
        <v>116</v>
      </c>
    </row>
    <row r="7" spans="1:5" x14ac:dyDescent="0.25">
      <c r="A7" s="3">
        <v>0.01</v>
      </c>
      <c r="B7" t="s">
        <v>115</v>
      </c>
      <c r="E7" s="27"/>
    </row>
    <row r="8" spans="1:5" x14ac:dyDescent="0.25">
      <c r="A8" s="3">
        <v>0.09</v>
      </c>
      <c r="B8" t="s">
        <v>106</v>
      </c>
    </row>
    <row r="9" spans="1:5" x14ac:dyDescent="0.25">
      <c r="A9" s="26"/>
    </row>
    <row r="10" spans="1:5" x14ac:dyDescent="0.25">
      <c r="A10" s="30" t="s">
        <v>118</v>
      </c>
    </row>
    <row r="11" spans="1:5" x14ac:dyDescent="0.25">
      <c r="A11" s="35">
        <v>4</v>
      </c>
      <c r="B11" t="s">
        <v>101</v>
      </c>
      <c r="E11" s="27"/>
    </row>
    <row r="12" spans="1:5" x14ac:dyDescent="0.25">
      <c r="A12" s="7">
        <v>28</v>
      </c>
      <c r="B12" t="s">
        <v>102</v>
      </c>
    </row>
    <row r="13" spans="1:5" x14ac:dyDescent="0.25">
      <c r="A13" s="25"/>
    </row>
    <row r="14" spans="1:5" x14ac:dyDescent="0.25">
      <c r="A14" s="29" t="s">
        <v>119</v>
      </c>
    </row>
    <row r="15" spans="1:5" x14ac:dyDescent="0.25">
      <c r="A15" s="14">
        <f>(A12*0.67)/((A11*33.814)+A12)</f>
        <v>0.11491154995834764</v>
      </c>
      <c r="B15" t="s">
        <v>113</v>
      </c>
    </row>
    <row r="16" spans="1:5" x14ac:dyDescent="0.25">
      <c r="A16" s="10">
        <f>((A11/2)*A6)+((((A5*11.1)/128))*A12)</f>
        <v>8.657343749999999</v>
      </c>
      <c r="B16" t="s">
        <v>103</v>
      </c>
    </row>
    <row r="17" spans="1:2" x14ac:dyDescent="0.25">
      <c r="A17" s="13">
        <f>(A11*33.814)+A12</f>
        <v>163.256</v>
      </c>
      <c r="B17" t="s">
        <v>104</v>
      </c>
    </row>
    <row r="19" spans="1:2" x14ac:dyDescent="0.25">
      <c r="A19" s="31" t="s">
        <v>120</v>
      </c>
    </row>
    <row r="20" spans="1:2" x14ac:dyDescent="0.25">
      <c r="A20" s="34">
        <v>2</v>
      </c>
      <c r="B20" t="s">
        <v>109</v>
      </c>
    </row>
    <row r="21" spans="1:2" x14ac:dyDescent="0.25">
      <c r="A21" s="7">
        <v>8</v>
      </c>
      <c r="B21" t="s">
        <v>105</v>
      </c>
    </row>
    <row r="22" spans="1:2" x14ac:dyDescent="0.25">
      <c r="A22" s="10">
        <f>A16/(A17/A21)</f>
        <v>0.42423402508943003</v>
      </c>
      <c r="B22" t="s">
        <v>108</v>
      </c>
    </row>
    <row r="23" spans="1:2" x14ac:dyDescent="0.25">
      <c r="A23" s="5">
        <v>4</v>
      </c>
      <c r="B23" t="s">
        <v>117</v>
      </c>
    </row>
    <row r="24" spans="1:2" x14ac:dyDescent="0.25">
      <c r="A24" s="28">
        <f>A23*A7</f>
        <v>0.04</v>
      </c>
      <c r="B24" t="s">
        <v>107</v>
      </c>
    </row>
    <row r="25" spans="1:2" x14ac:dyDescent="0.25">
      <c r="A25" s="33"/>
    </row>
    <row r="26" spans="1:2" x14ac:dyDescent="0.25">
      <c r="A26" s="32" t="s">
        <v>121</v>
      </c>
    </row>
    <row r="27" spans="1:2" x14ac:dyDescent="0.25">
      <c r="A27" s="28">
        <f>A20-(A22+A8+A24)</f>
        <v>1.4457659749105698</v>
      </c>
      <c r="B27" t="s">
        <v>110</v>
      </c>
    </row>
    <row r="28" spans="1:2" x14ac:dyDescent="0.25">
      <c r="A28" s="28">
        <f>(128/A12)*(A27*(A17/A21))</f>
        <v>134.87426857142856</v>
      </c>
      <c r="B28" t="s">
        <v>112</v>
      </c>
    </row>
    <row r="29" spans="1:2" x14ac:dyDescent="0.25">
      <c r="A29" s="5">
        <v>18</v>
      </c>
      <c r="B29" t="s">
        <v>111</v>
      </c>
    </row>
    <row r="30" spans="1:2" x14ac:dyDescent="0.25">
      <c r="A30" s="3">
        <v>0</v>
      </c>
      <c r="B30" t="s">
        <v>122</v>
      </c>
    </row>
    <row r="31" spans="1:2" x14ac:dyDescent="0.25">
      <c r="A31" s="22">
        <f>(A29*A27)-A30</f>
        <v>26.023787548390256</v>
      </c>
      <c r="B31" t="s">
        <v>5</v>
      </c>
    </row>
    <row r="32" spans="1:2" x14ac:dyDescent="0.25">
      <c r="A32" s="23"/>
      <c r="B32" t="s">
        <v>123</v>
      </c>
    </row>
    <row r="34" spans="1:1" x14ac:dyDescent="0.25">
      <c r="A34" t="s">
        <v>164</v>
      </c>
    </row>
  </sheetData>
  <customSheetViews>
    <customSheetView guid="{F2E49352-58FF-1A45-865A-C9D4D8B13EFB}" topLeftCell="A20">
      <selection activeCell="A34" sqref="A34"/>
      <pageMargins left="0.7" right="0.7" top="0.75" bottom="0.75" header="0.3" footer="0.3"/>
      <pageSetup orientation="portrait" horizontalDpi="360" verticalDpi="360"/>
    </customSheetView>
    <customSheetView guid="{4DE7DEC3-C749-114A-BE3F-7BD90B4E536A}">
      <selection activeCell="B5" sqref="B5"/>
      <pageMargins left="0.7" right="0.7" top="0.75" bottom="0.75" header="0.3" footer="0.3"/>
      <pageSetup orientation="portrait" horizontalDpi="360" verticalDpi="360"/>
    </customSheetView>
    <customSheetView guid="{96E29C1C-0447-42D1-AB2E-4693E54A4DC8}">
      <selection activeCell="C4" sqref="C4"/>
      <pageMargins left="0.75" right="0.75" top="1" bottom="1" header="0.5" footer="0.5"/>
      <pageSetup orientation="portrait" horizontalDpi="360" verticalDpi="360"/>
    </customSheetView>
  </customSheetView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 and overview</vt:lpstr>
      <vt:lpstr>syrup retail</vt:lpstr>
      <vt:lpstr>syrup retail and wholesale</vt:lpstr>
      <vt:lpstr>maple candy</vt:lpstr>
      <vt:lpstr>maple cream</vt:lpstr>
      <vt:lpstr>maple sugar</vt:lpstr>
      <vt:lpstr>maple cotton candy</vt:lpstr>
      <vt:lpstr>maple soda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mlf36</dc:creator>
  <cp:lastModifiedBy>Windows User</cp:lastModifiedBy>
  <dcterms:created xsi:type="dcterms:W3CDTF">2012-02-06T01:12:49Z</dcterms:created>
  <dcterms:modified xsi:type="dcterms:W3CDTF">2014-09-18T01:20:26Z</dcterms:modified>
</cp:coreProperties>
</file>