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<sst xmlns="http://schemas.openxmlformats.org/spreadsheetml/2006/main" count="215" uniqueCount="110">
  <si>
    <t>Chuck Winship</t>
  </si>
  <si>
    <t>Efficiencies</t>
  </si>
  <si>
    <t>Open Pan evaporation with wood</t>
  </si>
  <si>
    <t>Open Pan evaporation with fuel oil or natural gas</t>
  </si>
  <si>
    <t>Addition of preheater to Open Pan increases efficiency rate</t>
  </si>
  <si>
    <t>Open Pan evaporation with wood and air tight arch</t>
  </si>
  <si>
    <t>Gallons of sap (input number)</t>
  </si>
  <si>
    <t>Brix of sap (input Number)</t>
  </si>
  <si>
    <t>Fuel</t>
  </si>
  <si>
    <t>Heat value</t>
  </si>
  <si>
    <t>Unit cost</t>
  </si>
  <si>
    <t>Wood</t>
  </si>
  <si>
    <t>Dollars</t>
  </si>
  <si>
    <t>Fuel oil</t>
  </si>
  <si>
    <t>Electricity</t>
  </si>
  <si>
    <t>Natural Gas</t>
  </si>
  <si>
    <t>LP Gas</t>
  </si>
  <si>
    <t>Coal</t>
  </si>
  <si>
    <t>Inputs</t>
  </si>
  <si>
    <t>Rates for other processes</t>
  </si>
  <si>
    <t>Reverse osmosis</t>
  </si>
  <si>
    <t>Vacuum Evaporation</t>
  </si>
  <si>
    <t>Vapor compression</t>
  </si>
  <si>
    <t>Freeze concentration</t>
  </si>
  <si>
    <t>kWh/gallon of water removed</t>
  </si>
  <si>
    <t xml:space="preserve">Btu's per gallon of water evaporated </t>
  </si>
  <si>
    <t>Open Pan evaporation with LP Gas</t>
  </si>
  <si>
    <t>Open Pan evaporation with natural gas</t>
  </si>
  <si>
    <t>Open Pan evaporation with fuel oil</t>
  </si>
  <si>
    <t>Addition of preheater to Open Pan increases efficiency rate by 15%</t>
  </si>
  <si>
    <t xml:space="preserve">Open Pan evaporation with fuel oil </t>
  </si>
  <si>
    <t>Addition of Steam Away/ Piggy back, Gallons per hour increases by 65%</t>
  </si>
  <si>
    <t>Cost per Gallon</t>
  </si>
  <si>
    <t>of water removed</t>
  </si>
  <si>
    <t>Cost per gallon</t>
  </si>
  <si>
    <t>of syrup</t>
  </si>
  <si>
    <t>Microwave Evaporation</t>
  </si>
  <si>
    <t>Reverse</t>
  </si>
  <si>
    <t>Osmosis</t>
  </si>
  <si>
    <t>Evaporation</t>
  </si>
  <si>
    <t>Vapor</t>
  </si>
  <si>
    <t>Compression</t>
  </si>
  <si>
    <t>Concentration</t>
  </si>
  <si>
    <t>Microwave</t>
  </si>
  <si>
    <t>Cost per</t>
  </si>
  <si>
    <t>year</t>
  </si>
  <si>
    <t>Pre open pan evaporation processes</t>
  </si>
  <si>
    <t>Btu's per gallon of water frozen</t>
  </si>
  <si>
    <t>Cost per million BTU's</t>
  </si>
  <si>
    <t>per full cord</t>
  </si>
  <si>
    <t>per gallon</t>
  </si>
  <si>
    <t>per kWh</t>
  </si>
  <si>
    <t>per therm</t>
  </si>
  <si>
    <t>per ton</t>
  </si>
  <si>
    <t>Open Pan evaporation with coal and air tight arch</t>
  </si>
  <si>
    <t>With</t>
  </si>
  <si>
    <t>Piggyback</t>
  </si>
  <si>
    <t xml:space="preserve">   Open</t>
  </si>
  <si>
    <t xml:space="preserve">   Pan</t>
  </si>
  <si>
    <t>Open Pan evaporation with wood/coal</t>
  </si>
  <si>
    <t>Open Pan evaporation with wood/coal and air tight arch</t>
  </si>
  <si>
    <t>Vacuum evaporation</t>
  </si>
  <si>
    <t>Microwave evaporation</t>
  </si>
  <si>
    <t>Dollar cost per gallon</t>
  </si>
  <si>
    <t>Vacuum</t>
  </si>
  <si>
    <t xml:space="preserve">   For Comparison</t>
  </si>
  <si>
    <r>
      <t xml:space="preserve">Total Yearly fuel costs, Dollars, </t>
    </r>
    <r>
      <rPr>
        <b/>
        <i/>
        <u val="single"/>
        <sz val="10"/>
        <rFont val="Arial"/>
        <family val="2"/>
      </rPr>
      <t xml:space="preserve">without </t>
    </r>
    <r>
      <rPr>
        <b/>
        <sz val="10"/>
        <rFont val="Arial"/>
        <family val="2"/>
      </rPr>
      <t xml:space="preserve">Steam Away </t>
    </r>
    <r>
      <rPr>
        <b/>
        <sz val="8"/>
        <rFont val="Arial"/>
        <family val="2"/>
      </rPr>
      <t>TM</t>
    </r>
    <r>
      <rPr>
        <b/>
        <sz val="10"/>
        <rFont val="Arial"/>
        <family val="2"/>
      </rPr>
      <t xml:space="preserve"> or Piggy Back </t>
    </r>
    <r>
      <rPr>
        <b/>
        <sz val="8"/>
        <rFont val="Arial"/>
        <family val="2"/>
      </rPr>
      <t>TM</t>
    </r>
    <r>
      <rPr>
        <b/>
        <sz val="10"/>
        <rFont val="Arial"/>
        <family val="2"/>
      </rPr>
      <t xml:space="preserve"> Additions</t>
    </r>
  </si>
  <si>
    <t xml:space="preserve">Fuel Cost per gallon of syrup of Combined pre-open pan processes and open pan processes with </t>
  </si>
  <si>
    <r>
      <t>Steam Away</t>
    </r>
    <r>
      <rPr>
        <b/>
        <sz val="8"/>
        <rFont val="Arial"/>
        <family val="2"/>
      </rPr>
      <t>TM</t>
    </r>
    <r>
      <rPr>
        <b/>
        <sz val="10"/>
        <rFont val="Arial"/>
        <family val="2"/>
      </rPr>
      <t xml:space="preserve"> or Piggy Back</t>
    </r>
    <r>
      <rPr>
        <b/>
        <sz val="8"/>
        <rFont val="Arial"/>
        <family val="2"/>
      </rPr>
      <t>TM</t>
    </r>
    <r>
      <rPr>
        <b/>
        <sz val="10"/>
        <rFont val="Arial"/>
        <family val="2"/>
      </rPr>
      <t xml:space="preserve"> additions to open pan evaporator.</t>
    </r>
  </si>
  <si>
    <r>
      <t xml:space="preserve">Fuel Cost per gallon of syrup of Combined pre-open pan processes and open pan processes </t>
    </r>
    <r>
      <rPr>
        <b/>
        <i/>
        <u val="single"/>
        <sz val="10"/>
        <rFont val="Arial"/>
        <family val="2"/>
      </rPr>
      <t>without</t>
    </r>
    <r>
      <rPr>
        <b/>
        <u val="single"/>
        <sz val="10"/>
        <rFont val="Arial"/>
        <family val="2"/>
      </rPr>
      <t xml:space="preserve"> </t>
    </r>
  </si>
  <si>
    <t>Costs</t>
  </si>
  <si>
    <t>Total Yearly fuel costs, Dollars of combined pre-open pan processes and open pan processes with</t>
  </si>
  <si>
    <r>
      <t>Steam Away</t>
    </r>
    <r>
      <rPr>
        <b/>
        <sz val="8"/>
        <rFont val="Arial"/>
        <family val="2"/>
      </rPr>
      <t>TM</t>
    </r>
    <r>
      <rPr>
        <b/>
        <sz val="10"/>
        <rFont val="Arial"/>
        <family val="2"/>
      </rPr>
      <t xml:space="preserve"> or Piggy Back</t>
    </r>
    <r>
      <rPr>
        <b/>
        <sz val="8"/>
        <rFont val="Arial"/>
        <family val="2"/>
      </rPr>
      <t xml:space="preserve">TM </t>
    </r>
    <r>
      <rPr>
        <b/>
        <sz val="10"/>
        <rFont val="Arial"/>
        <family val="2"/>
      </rPr>
      <t>additions to open pan evaporator.</t>
    </r>
  </si>
  <si>
    <t>Maple Sap Concentration Processes and</t>
  </si>
  <si>
    <t>Variable Cost of  Different Fuels</t>
  </si>
  <si>
    <t>Summary Costs</t>
  </si>
  <si>
    <t>Cost per Gallon of Syrup</t>
  </si>
  <si>
    <t xml:space="preserve">Vapor </t>
  </si>
  <si>
    <t>Freeze</t>
  </si>
  <si>
    <t>Wood and air tight arch</t>
  </si>
  <si>
    <t>Coal and air tight arch</t>
  </si>
  <si>
    <t>Fuel Oil</t>
  </si>
  <si>
    <t>Natural gas</t>
  </si>
  <si>
    <t>Micro</t>
  </si>
  <si>
    <t>Wave</t>
  </si>
  <si>
    <t>Open Pan Evap.</t>
  </si>
  <si>
    <t>Total Cost per Year</t>
  </si>
  <si>
    <t>Wood/air tight arch</t>
  </si>
  <si>
    <t>Coal/air tight arch</t>
  </si>
  <si>
    <t>Comp.</t>
  </si>
  <si>
    <t>RO and</t>
  </si>
  <si>
    <t>Conc.</t>
  </si>
  <si>
    <t>Evap.</t>
  </si>
  <si>
    <t>Preheat</t>
  </si>
  <si>
    <t>Away</t>
  </si>
  <si>
    <t xml:space="preserve">Steam </t>
  </si>
  <si>
    <t>Piggyback/</t>
  </si>
  <si>
    <t>Steam</t>
  </si>
  <si>
    <t>1-716-223-4619</t>
  </si>
  <si>
    <t>Piggy Back/ Steam Away sap throughput increase</t>
  </si>
  <si>
    <t>Brix of sap conc. Vapor Compressor</t>
  </si>
  <si>
    <t>Brix of sap conc. Reverse Osmosis</t>
  </si>
  <si>
    <t>.</t>
  </si>
  <si>
    <t>Btu/cord</t>
  </si>
  <si>
    <t>Btu/ton</t>
  </si>
  <si>
    <t>Btu/gallon</t>
  </si>
  <si>
    <t>Btu/term</t>
  </si>
  <si>
    <t>Btu/kWh</t>
  </si>
  <si>
    <r>
      <t>Note:</t>
    </r>
    <r>
      <rPr>
        <sz val="10"/>
        <rFont val="Arial"/>
        <family val="0"/>
      </rPr>
      <t xml:space="preserve">  Boxes are user input assumptions</t>
    </r>
  </si>
  <si>
    <t>Gallons of Syrup Produced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</si>
</sst>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00_);_(* \(#,##0.000\);_(* &quot;-&quot;?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4" fontId="0" fillId="0" borderId="0" xfId="15" applyNumberFormat="1" applyAlignment="1">
      <alignment/>
    </xf>
    <xf numFmtId="175" fontId="0" fillId="0" borderId="0" xfId="17" applyNumberFormat="1" applyAlignment="1">
      <alignment horizontal="right"/>
    </xf>
    <xf numFmtId="44" fontId="0" fillId="0" borderId="0" xfId="17" applyAlignment="1">
      <alignment/>
    </xf>
    <xf numFmtId="177" fontId="0" fillId="0" borderId="0" xfId="17" applyNumberFormat="1" applyAlignment="1">
      <alignment/>
    </xf>
    <xf numFmtId="44" fontId="0" fillId="0" borderId="0" xfId="17" applyNumberFormat="1" applyAlignment="1">
      <alignment/>
    </xf>
    <xf numFmtId="175" fontId="0" fillId="0" borderId="0" xfId="17" applyNumberFormat="1" applyAlignment="1">
      <alignment/>
    </xf>
    <xf numFmtId="15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9" fillId="0" borderId="1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4" fontId="9" fillId="0" borderId="0" xfId="17" applyFont="1" applyAlignment="1">
      <alignment/>
    </xf>
    <xf numFmtId="174" fontId="9" fillId="0" borderId="0" xfId="15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74" fontId="2" fillId="0" borderId="0" xfId="15" applyNumberFormat="1" applyFont="1" applyAlignment="1">
      <alignment/>
    </xf>
    <xf numFmtId="0" fontId="0" fillId="0" borderId="0" xfId="0" applyFont="1" applyAlignment="1">
      <alignment/>
    </xf>
    <xf numFmtId="17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9" fillId="0" borderId="4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174" fontId="9" fillId="0" borderId="3" xfId="15" applyNumberFormat="1" applyFont="1" applyBorder="1" applyAlignment="1">
      <alignment/>
    </xf>
    <xf numFmtId="44" fontId="9" fillId="0" borderId="2" xfId="17" applyFont="1" applyBorder="1" applyAlignment="1">
      <alignment/>
    </xf>
    <xf numFmtId="44" fontId="9" fillId="0" borderId="3" xfId="17" applyFont="1" applyBorder="1" applyAlignment="1">
      <alignment/>
    </xf>
    <xf numFmtId="44" fontId="9" fillId="0" borderId="1" xfId="17" applyFont="1" applyBorder="1" applyAlignment="1">
      <alignment/>
    </xf>
    <xf numFmtId="171" fontId="9" fillId="0" borderId="1" xfId="0" applyNumberFormat="1" applyFont="1" applyBorder="1" applyAlignment="1">
      <alignment/>
    </xf>
    <xf numFmtId="171" fontId="9" fillId="0" borderId="2" xfId="0" applyNumberFormat="1" applyFont="1" applyBorder="1" applyAlignment="1">
      <alignment/>
    </xf>
    <xf numFmtId="171" fontId="9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75" zoomScaleNormal="75" workbookViewId="0" topLeftCell="A1">
      <selection activeCell="L16" sqref="L16"/>
    </sheetView>
  </sheetViews>
  <sheetFormatPr defaultColWidth="9.140625" defaultRowHeight="12.75"/>
  <cols>
    <col min="2" max="2" width="3.7109375" style="0" customWidth="1"/>
    <col min="3" max="3" width="13.57421875" style="0" customWidth="1"/>
    <col min="4" max="4" width="13.28125" style="0" customWidth="1"/>
    <col min="5" max="5" width="16.140625" style="0" customWidth="1"/>
    <col min="6" max="6" width="12.7109375" style="0" customWidth="1"/>
    <col min="7" max="7" width="13.00390625" style="0" customWidth="1"/>
    <col min="8" max="8" width="12.57421875" style="0" customWidth="1"/>
    <col min="9" max="9" width="13.140625" style="0" customWidth="1"/>
    <col min="10" max="10" width="13.57421875" style="0" customWidth="1"/>
    <col min="11" max="11" width="13.00390625" style="0" customWidth="1"/>
    <col min="12" max="12" width="12.28125" style="0" customWidth="1"/>
  </cols>
  <sheetData>
    <row r="1" spans="4:8" ht="18">
      <c r="D1" s="8"/>
      <c r="E1" s="8"/>
      <c r="F1" s="5" t="s">
        <v>73</v>
      </c>
      <c r="G1" s="8"/>
      <c r="H1" s="8"/>
    </row>
    <row r="2" spans="4:8" ht="18">
      <c r="D2" s="8"/>
      <c r="E2" s="8"/>
      <c r="F2" s="5" t="s">
        <v>74</v>
      </c>
      <c r="G2" s="8"/>
      <c r="H2" s="8"/>
    </row>
    <row r="3" spans="4:8" ht="18">
      <c r="D3" s="8"/>
      <c r="E3" s="8"/>
      <c r="F3" s="5" t="s">
        <v>0</v>
      </c>
      <c r="G3" s="8"/>
      <c r="H3" s="8"/>
    </row>
    <row r="4" spans="4:8" ht="18">
      <c r="D4" s="8"/>
      <c r="E4" s="8"/>
      <c r="F4" s="15">
        <v>36897</v>
      </c>
      <c r="G4" s="8"/>
      <c r="H4" s="8"/>
    </row>
    <row r="5" spans="1:9" ht="18">
      <c r="A5" s="21" t="s">
        <v>18</v>
      </c>
      <c r="B5" s="22"/>
      <c r="C5" s="22"/>
      <c r="D5" s="22"/>
      <c r="E5" s="22"/>
      <c r="F5" s="5" t="s">
        <v>98</v>
      </c>
      <c r="G5" s="22"/>
      <c r="H5" s="22"/>
      <c r="I5" s="22"/>
    </row>
    <row r="6" spans="1:9" ht="15.75" thickBot="1">
      <c r="A6" s="22"/>
      <c r="B6" s="22"/>
      <c r="C6" s="22"/>
      <c r="D6" s="22"/>
      <c r="E6" s="22"/>
      <c r="F6" s="22"/>
      <c r="G6" s="22"/>
      <c r="H6" s="22"/>
      <c r="I6" s="22"/>
    </row>
    <row r="7" spans="1:9" ht="15">
      <c r="A7" s="22" t="s">
        <v>7</v>
      </c>
      <c r="B7" s="22"/>
      <c r="C7" s="22"/>
      <c r="D7" s="22"/>
      <c r="E7" s="37">
        <v>2.01</v>
      </c>
      <c r="F7" s="22"/>
      <c r="G7" s="22" t="s">
        <v>108</v>
      </c>
      <c r="H7" s="22"/>
      <c r="I7" s="23"/>
    </row>
    <row r="8" spans="1:9" ht="15">
      <c r="A8" s="22" t="s">
        <v>101</v>
      </c>
      <c r="B8" s="22"/>
      <c r="C8" s="22"/>
      <c r="D8" s="23"/>
      <c r="E8" s="38">
        <v>6</v>
      </c>
      <c r="F8" s="22"/>
      <c r="G8" s="33"/>
      <c r="H8" s="22"/>
      <c r="I8" s="22"/>
    </row>
    <row r="9" spans="1:9" ht="15">
      <c r="A9" s="22" t="s">
        <v>100</v>
      </c>
      <c r="B9" s="22"/>
      <c r="C9" s="22"/>
      <c r="D9" s="22"/>
      <c r="E9" s="38">
        <v>14.5</v>
      </c>
      <c r="F9" s="22"/>
      <c r="G9" s="33" t="s">
        <v>102</v>
      </c>
      <c r="H9" s="22"/>
      <c r="I9" s="22"/>
    </row>
    <row r="10" spans="1:9" ht="15.75" thickBot="1">
      <c r="A10" s="22" t="s">
        <v>6</v>
      </c>
      <c r="B10" s="22"/>
      <c r="C10" s="22"/>
      <c r="D10" s="22"/>
      <c r="E10" s="39">
        <v>70000</v>
      </c>
      <c r="F10" s="22"/>
      <c r="G10" s="22"/>
      <c r="H10" s="22"/>
      <c r="I10" s="22"/>
    </row>
    <row r="11" spans="6:9" ht="15">
      <c r="F11" s="22"/>
      <c r="G11" s="22"/>
      <c r="H11" s="22"/>
      <c r="I11" s="22"/>
    </row>
    <row r="12" spans="1:9" ht="15.75">
      <c r="A12" s="21" t="s">
        <v>1</v>
      </c>
      <c r="B12" s="22"/>
      <c r="C12" s="22"/>
      <c r="D12" s="22"/>
      <c r="E12" s="22"/>
      <c r="F12" s="22"/>
      <c r="G12" s="22"/>
      <c r="H12" s="22"/>
      <c r="I12" s="22"/>
    </row>
    <row r="13" spans="1:9" ht="15.75" thickBo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5">
      <c r="A14" s="22" t="s">
        <v>59</v>
      </c>
      <c r="B14" s="22"/>
      <c r="C14" s="22"/>
      <c r="D14" s="22"/>
      <c r="E14" s="22"/>
      <c r="F14" s="22"/>
      <c r="G14" s="24">
        <v>0.4</v>
      </c>
      <c r="H14" s="22"/>
      <c r="I14" s="22"/>
    </row>
    <row r="15" spans="1:9" ht="15">
      <c r="A15" s="22" t="s">
        <v>3</v>
      </c>
      <c r="B15" s="22"/>
      <c r="C15" s="22"/>
      <c r="D15" s="22"/>
      <c r="E15" s="22"/>
      <c r="F15" s="22"/>
      <c r="G15" s="25">
        <v>0.75</v>
      </c>
      <c r="H15" s="22"/>
      <c r="I15" s="22"/>
    </row>
    <row r="16" spans="1:9" ht="15">
      <c r="A16" s="22" t="s">
        <v>60</v>
      </c>
      <c r="B16" s="22"/>
      <c r="C16" s="22"/>
      <c r="D16" s="22"/>
      <c r="E16" s="22"/>
      <c r="F16" s="22"/>
      <c r="G16" s="25">
        <v>0.65</v>
      </c>
      <c r="H16" s="22"/>
      <c r="I16" s="22"/>
    </row>
    <row r="17" spans="1:9" ht="15">
      <c r="A17" s="22" t="s">
        <v>4</v>
      </c>
      <c r="B17" s="22"/>
      <c r="C17" s="22"/>
      <c r="D17" s="22"/>
      <c r="E17" s="22"/>
      <c r="F17" s="22"/>
      <c r="G17" s="36">
        <v>0.15</v>
      </c>
      <c r="H17" s="22"/>
      <c r="I17" s="22"/>
    </row>
    <row r="18" spans="1:9" ht="15.75" thickBot="1">
      <c r="A18" s="22" t="s">
        <v>99</v>
      </c>
      <c r="B18" s="22"/>
      <c r="C18" s="22"/>
      <c r="D18" s="22"/>
      <c r="E18" s="22"/>
      <c r="F18" s="22"/>
      <c r="G18" s="26">
        <v>0.65</v>
      </c>
      <c r="H18" s="22"/>
      <c r="I18" s="22"/>
    </row>
    <row r="19" spans="1:9" ht="1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5.75">
      <c r="A20" s="21" t="s">
        <v>8</v>
      </c>
      <c r="B20" s="21"/>
      <c r="D20" s="21" t="s">
        <v>9</v>
      </c>
      <c r="E20" s="21"/>
      <c r="F20" s="21" t="s">
        <v>10</v>
      </c>
      <c r="G20" s="22"/>
      <c r="I20" s="21" t="s">
        <v>48</v>
      </c>
    </row>
    <row r="21" spans="1:9" ht="16.5" thickBot="1">
      <c r="A21" s="22"/>
      <c r="B21" s="22"/>
      <c r="C21" s="22"/>
      <c r="D21" s="22"/>
      <c r="E21" s="22"/>
      <c r="F21" s="21" t="s">
        <v>12</v>
      </c>
      <c r="G21" s="22"/>
      <c r="I21" s="21" t="s">
        <v>12</v>
      </c>
    </row>
    <row r="22" spans="1:9" ht="15">
      <c r="A22" s="22" t="s">
        <v>11</v>
      </c>
      <c r="B22" s="22"/>
      <c r="C22" s="27">
        <v>23000000</v>
      </c>
      <c r="D22" s="22" t="s">
        <v>103</v>
      </c>
      <c r="E22" s="22"/>
      <c r="F22" s="42">
        <v>95</v>
      </c>
      <c r="G22" s="22" t="s">
        <v>49</v>
      </c>
      <c r="I22" s="28">
        <f>(F22/(C22/1000000))</f>
        <v>4.130434782608695</v>
      </c>
    </row>
    <row r="23" spans="1:9" ht="15">
      <c r="A23" s="22" t="s">
        <v>17</v>
      </c>
      <c r="B23" s="22"/>
      <c r="C23" s="27">
        <v>24000000</v>
      </c>
      <c r="D23" s="22" t="s">
        <v>104</v>
      </c>
      <c r="E23" s="22"/>
      <c r="F23" s="40">
        <v>140</v>
      </c>
      <c r="G23" s="22" t="s">
        <v>53</v>
      </c>
      <c r="I23" s="28">
        <f>F23/(C23/1000000)</f>
        <v>5.833333333333333</v>
      </c>
    </row>
    <row r="24" spans="1:9" ht="15">
      <c r="A24" s="22" t="s">
        <v>13</v>
      </c>
      <c r="B24" s="22"/>
      <c r="C24" s="27">
        <v>138000</v>
      </c>
      <c r="D24" s="22" t="s">
        <v>105</v>
      </c>
      <c r="E24" s="22"/>
      <c r="F24" s="40">
        <v>1.49</v>
      </c>
      <c r="G24" s="22" t="s">
        <v>50</v>
      </c>
      <c r="I24" s="28">
        <f>(1000000/C24)*F24</f>
        <v>10.797101449275363</v>
      </c>
    </row>
    <row r="25" spans="1:9" ht="15">
      <c r="A25" s="22" t="s">
        <v>15</v>
      </c>
      <c r="B25" s="22"/>
      <c r="C25" s="27">
        <v>100000</v>
      </c>
      <c r="D25" s="22" t="s">
        <v>106</v>
      </c>
      <c r="E25" s="22"/>
      <c r="F25" s="40">
        <v>0.82</v>
      </c>
      <c r="G25" s="22" t="s">
        <v>52</v>
      </c>
      <c r="I25" s="28">
        <f>(1000000/C25)*F25</f>
        <v>8.2</v>
      </c>
    </row>
    <row r="26" spans="1:9" ht="15">
      <c r="A26" s="22" t="s">
        <v>16</v>
      </c>
      <c r="B26" s="22"/>
      <c r="C26" s="27">
        <v>93000</v>
      </c>
      <c r="D26" s="22" t="s">
        <v>105</v>
      </c>
      <c r="E26" s="22"/>
      <c r="F26" s="40">
        <v>1.42</v>
      </c>
      <c r="G26" s="22" t="s">
        <v>50</v>
      </c>
      <c r="I26" s="28">
        <f>(1000000/C26)*F26</f>
        <v>15.268817204301074</v>
      </c>
    </row>
    <row r="27" spans="1:9" ht="15.75" thickBot="1">
      <c r="A27" s="22" t="s">
        <v>14</v>
      </c>
      <c r="B27" s="22"/>
      <c r="C27" s="27">
        <v>3412</v>
      </c>
      <c r="D27" s="22" t="s">
        <v>107</v>
      </c>
      <c r="E27" s="22"/>
      <c r="F27" s="41">
        <v>0.08</v>
      </c>
      <c r="G27" s="22" t="s">
        <v>51</v>
      </c>
      <c r="I27" s="28">
        <f>(1000000/C27)*F27</f>
        <v>23.446658851113718</v>
      </c>
    </row>
    <row r="28" spans="1:9" ht="15">
      <c r="A28" s="22"/>
      <c r="B28" s="22"/>
      <c r="C28" s="22"/>
      <c r="D28" s="22"/>
      <c r="E28" s="22"/>
      <c r="F28" s="23"/>
      <c r="G28" s="22"/>
      <c r="H28" s="22"/>
      <c r="I28" s="22"/>
    </row>
    <row r="29" spans="1:9" ht="15.75">
      <c r="A29" s="21" t="s">
        <v>25</v>
      </c>
      <c r="B29" s="22"/>
      <c r="C29" s="22"/>
      <c r="D29" s="22"/>
      <c r="E29" s="22"/>
      <c r="F29" s="29">
        <v>9396</v>
      </c>
      <c r="G29" s="22"/>
      <c r="H29" s="22"/>
      <c r="I29" s="22"/>
    </row>
    <row r="30" spans="1:9" ht="15.75">
      <c r="A30" s="21" t="s">
        <v>47</v>
      </c>
      <c r="B30" s="22"/>
      <c r="C30" s="22"/>
      <c r="D30" s="22"/>
      <c r="E30" s="22"/>
      <c r="F30" s="29">
        <f>1187</f>
        <v>1187</v>
      </c>
      <c r="G30" s="22"/>
      <c r="H30" s="22"/>
      <c r="I30" s="22"/>
    </row>
    <row r="31" spans="1:9" ht="15.75">
      <c r="A31" s="21"/>
      <c r="B31" s="22"/>
      <c r="C31" s="22"/>
      <c r="D31" s="22"/>
      <c r="E31" s="22"/>
      <c r="F31" s="29"/>
      <c r="G31" s="22"/>
      <c r="H31" s="22"/>
      <c r="I31" s="22"/>
    </row>
    <row r="32" spans="1:5" ht="15.75">
      <c r="A32" s="21" t="s">
        <v>19</v>
      </c>
      <c r="E32" s="6"/>
    </row>
    <row r="33" spans="4:7" ht="18.75" thickBot="1">
      <c r="D33" s="21" t="s">
        <v>24</v>
      </c>
      <c r="E33" s="6"/>
      <c r="G33" s="30"/>
    </row>
    <row r="34" spans="1:10" ht="18">
      <c r="A34" s="22" t="s">
        <v>20</v>
      </c>
      <c r="B34" s="21"/>
      <c r="C34" s="21"/>
      <c r="D34" s="21"/>
      <c r="E34" s="43">
        <v>0.012</v>
      </c>
      <c r="G34" s="30" t="s">
        <v>109</v>
      </c>
      <c r="J34" s="32">
        <f>E10/(86/E7)</f>
        <v>1636.0465116279067</v>
      </c>
    </row>
    <row r="35" spans="1:7" ht="18">
      <c r="A35" s="22" t="s">
        <v>61</v>
      </c>
      <c r="B35" s="21"/>
      <c r="C35" s="21"/>
      <c r="D35" s="21"/>
      <c r="E35" s="44">
        <v>0.12</v>
      </c>
      <c r="G35" s="31"/>
    </row>
    <row r="36" spans="1:5" ht="15.75">
      <c r="A36" s="22" t="s">
        <v>22</v>
      </c>
      <c r="B36" s="21"/>
      <c r="C36" s="21"/>
      <c r="D36" s="21"/>
      <c r="E36" s="44">
        <v>0.11</v>
      </c>
    </row>
    <row r="37" spans="1:5" ht="15.75">
      <c r="A37" s="22" t="s">
        <v>23</v>
      </c>
      <c r="B37" s="21"/>
      <c r="C37" s="21"/>
      <c r="D37" s="21"/>
      <c r="E37" s="44">
        <v>0.245</v>
      </c>
    </row>
    <row r="38" spans="1:5" ht="16.5" thickBot="1">
      <c r="A38" s="22" t="s">
        <v>62</v>
      </c>
      <c r="B38" s="21"/>
      <c r="C38" s="21"/>
      <c r="D38" s="21"/>
      <c r="E38" s="45">
        <v>0.9</v>
      </c>
    </row>
    <row r="39" spans="1:9" ht="15.75">
      <c r="A39" s="21"/>
      <c r="B39" s="22"/>
      <c r="C39" s="22"/>
      <c r="D39" s="22"/>
      <c r="E39" s="22"/>
      <c r="F39" s="29"/>
      <c r="G39" s="22"/>
      <c r="H39" s="22"/>
      <c r="I39" s="22"/>
    </row>
    <row r="40" spans="1:12" ht="20.25">
      <c r="A40" s="16" t="s">
        <v>75</v>
      </c>
      <c r="B40" s="17"/>
      <c r="C40" s="17"/>
      <c r="D40" s="17"/>
      <c r="E40" s="18"/>
      <c r="F40" s="16" t="s">
        <v>76</v>
      </c>
      <c r="G40" s="17"/>
      <c r="I40" s="17"/>
      <c r="J40" s="17"/>
      <c r="K40" s="17"/>
      <c r="L40" s="17"/>
    </row>
    <row r="41" spans="1:12" ht="20.25">
      <c r="A41" s="16"/>
      <c r="B41" s="17"/>
      <c r="C41" s="17"/>
      <c r="D41" s="17"/>
      <c r="E41" s="18"/>
      <c r="F41" s="16"/>
      <c r="G41" s="17"/>
      <c r="I41" s="17"/>
      <c r="J41" s="17"/>
      <c r="K41" s="17"/>
      <c r="L41" s="17"/>
    </row>
    <row r="42" spans="1:11" ht="20.25">
      <c r="A42" s="17" t="s">
        <v>85</v>
      </c>
      <c r="B42" s="17"/>
      <c r="C42" s="17"/>
      <c r="D42" s="17" t="s">
        <v>93</v>
      </c>
      <c r="E42" s="17" t="s">
        <v>96</v>
      </c>
      <c r="F42" s="17" t="s">
        <v>37</v>
      </c>
      <c r="G42" s="17" t="s">
        <v>77</v>
      </c>
      <c r="H42" s="17" t="s">
        <v>64</v>
      </c>
      <c r="I42" s="17" t="s">
        <v>78</v>
      </c>
      <c r="J42" s="17" t="s">
        <v>83</v>
      </c>
      <c r="K42" s="31" t="s">
        <v>90</v>
      </c>
    </row>
    <row r="43" spans="1:11" ht="20.25">
      <c r="A43" s="17"/>
      <c r="B43" s="17"/>
      <c r="C43" s="17"/>
      <c r="D43" s="17"/>
      <c r="E43" s="17" t="s">
        <v>95</v>
      </c>
      <c r="F43" s="17" t="s">
        <v>38</v>
      </c>
      <c r="G43" s="17" t="s">
        <v>89</v>
      </c>
      <c r="H43" s="17" t="s">
        <v>92</v>
      </c>
      <c r="I43" s="17" t="s">
        <v>91</v>
      </c>
      <c r="J43" s="17" t="s">
        <v>84</v>
      </c>
      <c r="K43" s="31" t="s">
        <v>56</v>
      </c>
    </row>
    <row r="44" spans="1:10" ht="20.25">
      <c r="A44" s="17"/>
      <c r="B44" s="17"/>
      <c r="C44" s="17"/>
      <c r="D44" s="17"/>
      <c r="E44" s="17" t="s">
        <v>94</v>
      </c>
      <c r="F44" s="17"/>
      <c r="G44" s="17"/>
      <c r="H44" s="17"/>
      <c r="I44" s="17"/>
      <c r="J44" s="17"/>
    </row>
    <row r="45" spans="1:11" ht="20.25">
      <c r="A45" s="17" t="s">
        <v>11</v>
      </c>
      <c r="B45" s="17"/>
      <c r="C45" s="17"/>
      <c r="D45" s="19">
        <f>G87</f>
        <v>3.525433033321108</v>
      </c>
      <c r="E45" s="19">
        <f>G96</f>
        <v>2.1366260808006716</v>
      </c>
      <c r="F45" s="19">
        <f>E147</f>
        <v>1.152229560703101</v>
      </c>
      <c r="G45" s="19">
        <f>G147</f>
        <v>0.7403488841562349</v>
      </c>
      <c r="H45" s="19">
        <f>F147</f>
        <v>1.3980612024941457</v>
      </c>
      <c r="I45" s="19">
        <f>H147</f>
        <v>1.6825885656782256</v>
      </c>
      <c r="J45" s="19">
        <f>I147</f>
        <v>3.173511948762803</v>
      </c>
      <c r="K45" s="19">
        <f>E120</f>
        <v>0.7090812534338107</v>
      </c>
    </row>
    <row r="46" spans="1:11" ht="20.25">
      <c r="A46" s="17"/>
      <c r="B46" s="17"/>
      <c r="C46" s="17"/>
      <c r="D46" s="19"/>
      <c r="E46" s="19"/>
      <c r="F46" s="19"/>
      <c r="G46" s="19"/>
      <c r="H46" s="19"/>
      <c r="I46" s="19"/>
      <c r="J46" s="19"/>
      <c r="K46" s="17"/>
    </row>
    <row r="47" spans="1:11" ht="20.25">
      <c r="A47" s="17" t="s">
        <v>87</v>
      </c>
      <c r="B47" s="17"/>
      <c r="C47" s="17"/>
      <c r="D47" s="20">
        <f>G90</f>
        <v>2.169497251274528</v>
      </c>
      <c r="E47" s="20">
        <f>G99</f>
        <v>1.3148468189542595</v>
      </c>
      <c r="F47" s="20">
        <f>E150</f>
        <v>0.7195699707656281</v>
      </c>
      <c r="G47" s="20">
        <f>G150</f>
        <v>0.5803394323603936</v>
      </c>
      <c r="H47" s="20">
        <f>F150</f>
        <v>0.9654016125566729</v>
      </c>
      <c r="I47" s="20">
        <f>H150</f>
        <v>1.2499289757407526</v>
      </c>
      <c r="J47" s="20">
        <f>I150</f>
        <v>2.74085235882533</v>
      </c>
      <c r="K47" s="20">
        <f>E123</f>
        <v>0.44686332013837254</v>
      </c>
    </row>
    <row r="48" spans="1:11" ht="20.25">
      <c r="A48" s="17"/>
      <c r="B48" s="17"/>
      <c r="C48" s="17"/>
      <c r="D48" s="20"/>
      <c r="E48" s="20"/>
      <c r="F48" s="20"/>
      <c r="G48" s="20"/>
      <c r="H48" s="20"/>
      <c r="I48" s="20"/>
      <c r="J48" s="20"/>
      <c r="K48" s="17"/>
    </row>
    <row r="49" spans="1:11" ht="20.25">
      <c r="A49" s="17" t="s">
        <v>88</v>
      </c>
      <c r="B49" s="17"/>
      <c r="C49" s="17"/>
      <c r="D49" s="20">
        <f>G91</f>
        <v>3.0639391004842014</v>
      </c>
      <c r="E49" s="20">
        <f>G100</f>
        <v>1.8569327881722433</v>
      </c>
      <c r="F49" s="20">
        <f>E151</f>
        <v>1.0049734897419258</v>
      </c>
      <c r="G49" s="20">
        <f>G151</f>
        <v>0.6858895268783519</v>
      </c>
      <c r="H49" s="20">
        <f>F151</f>
        <v>1.2508051315329705</v>
      </c>
      <c r="I49" s="20">
        <f>H151</f>
        <v>1.5353324947170504</v>
      </c>
      <c r="J49" s="20">
        <f>I151</f>
        <v>3.0262558778016277</v>
      </c>
      <c r="K49" s="20">
        <f>E124</f>
        <v>0.6198351498209772</v>
      </c>
    </row>
    <row r="50" spans="1:11" ht="20.25">
      <c r="A50" s="17"/>
      <c r="B50" s="17"/>
      <c r="C50" s="17"/>
      <c r="D50" s="20"/>
      <c r="E50" s="20"/>
      <c r="F50" s="20"/>
      <c r="G50" s="20"/>
      <c r="H50" s="20"/>
      <c r="I50" s="20"/>
      <c r="J50" s="20"/>
      <c r="K50" s="17"/>
    </row>
    <row r="51" spans="1:11" ht="20.25">
      <c r="A51" s="17" t="s">
        <v>81</v>
      </c>
      <c r="B51" s="17"/>
      <c r="C51" s="17"/>
      <c r="D51" s="20">
        <f>G88</f>
        <v>4.914989679203228</v>
      </c>
      <c r="E51" s="20">
        <f>G97</f>
        <v>2.9787816237595326</v>
      </c>
      <c r="F51" s="20">
        <f>E148</f>
        <v>1.5956170843325905</v>
      </c>
      <c r="G51" s="20">
        <f>G148</f>
        <v>0.9043258217743823</v>
      </c>
      <c r="H51" s="20">
        <f>F148</f>
        <v>1.8414487261236352</v>
      </c>
      <c r="I51" s="20">
        <f>H148</f>
        <v>2.125976089307715</v>
      </c>
      <c r="J51" s="20">
        <f>I148</f>
        <v>3.6168994723922925</v>
      </c>
      <c r="K51" s="20">
        <f>E121</f>
        <v>0.9778009647244102</v>
      </c>
    </row>
    <row r="52" spans="1:11" ht="20.25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17"/>
    </row>
    <row r="53" spans="1:11" ht="20.25">
      <c r="A53" s="17" t="s">
        <v>82</v>
      </c>
      <c r="B53" s="17"/>
      <c r="C53" s="17"/>
      <c r="D53" s="20">
        <f>G89</f>
        <v>3.7327532355613244</v>
      </c>
      <c r="E53" s="20">
        <f>G98</f>
        <v>2.2622746882189846</v>
      </c>
      <c r="F53" s="20">
        <f>E149</f>
        <v>1.2183824529526281</v>
      </c>
      <c r="G53" s="20">
        <f>G149</f>
        <v>0.7648140486174824</v>
      </c>
      <c r="H53" s="20">
        <f>F149</f>
        <v>1.464214094743673</v>
      </c>
      <c r="I53" s="20">
        <f>H149</f>
        <v>1.7487414579277525</v>
      </c>
      <c r="J53" s="20">
        <f>I149</f>
        <v>3.2396648410123303</v>
      </c>
      <c r="K53" s="20">
        <f>E122</f>
        <v>0.7491739154032212</v>
      </c>
    </row>
    <row r="54" spans="1:11" ht="20.25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17"/>
    </row>
    <row r="55" spans="1:11" ht="20.25">
      <c r="A55" s="17" t="s">
        <v>16</v>
      </c>
      <c r="B55" s="17"/>
      <c r="C55" s="17"/>
      <c r="D55" s="20">
        <f>G92</f>
        <v>6.950576441774299</v>
      </c>
      <c r="E55" s="20">
        <f>G101</f>
        <v>4.212470570772302</v>
      </c>
      <c r="F55" s="20">
        <f>E152</f>
        <v>2.2451435188712816</v>
      </c>
      <c r="G55" s="20">
        <f>G152</f>
        <v>1.1445386152373982</v>
      </c>
      <c r="H55" s="20">
        <f>F152</f>
        <v>2.4909751606623267</v>
      </c>
      <c r="I55" s="20">
        <f>H152</f>
        <v>2.775502523846406</v>
      </c>
      <c r="J55" s="20">
        <f>I152</f>
        <v>4.266425906930984</v>
      </c>
      <c r="K55" s="20">
        <f>E125</f>
        <v>1.371453349293314</v>
      </c>
    </row>
    <row r="56" ht="12.75">
      <c r="E56" s="2"/>
    </row>
    <row r="57" ht="12.75">
      <c r="E57" s="2"/>
    </row>
    <row r="58" spans="1:9" ht="20.25">
      <c r="A58" s="16" t="s">
        <v>75</v>
      </c>
      <c r="B58" s="17"/>
      <c r="C58" s="17"/>
      <c r="D58" s="17"/>
      <c r="E58" s="18"/>
      <c r="F58" s="16" t="s">
        <v>86</v>
      </c>
      <c r="G58" s="17"/>
      <c r="I58" s="17"/>
    </row>
    <row r="59" spans="1:9" ht="20.25">
      <c r="A59" s="16"/>
      <c r="B59" s="17"/>
      <c r="C59" s="17"/>
      <c r="D59" s="17"/>
      <c r="E59" s="18"/>
      <c r="F59" s="16"/>
      <c r="G59" s="17"/>
      <c r="I59" s="17"/>
    </row>
    <row r="60" spans="1:11" ht="20.25">
      <c r="A60" s="17" t="s">
        <v>85</v>
      </c>
      <c r="B60" s="17"/>
      <c r="C60" s="17"/>
      <c r="D60" s="17" t="s">
        <v>93</v>
      </c>
      <c r="E60" s="17" t="s">
        <v>96</v>
      </c>
      <c r="F60" s="17" t="s">
        <v>37</v>
      </c>
      <c r="G60" s="17" t="s">
        <v>77</v>
      </c>
      <c r="H60" s="17" t="s">
        <v>64</v>
      </c>
      <c r="I60" s="17" t="s">
        <v>78</v>
      </c>
      <c r="J60" s="31" t="s">
        <v>83</v>
      </c>
      <c r="K60" s="31" t="s">
        <v>90</v>
      </c>
    </row>
    <row r="61" spans="1:11" ht="20.25">
      <c r="A61" s="17"/>
      <c r="B61" s="17"/>
      <c r="C61" s="17"/>
      <c r="D61" s="17"/>
      <c r="E61" s="17" t="s">
        <v>97</v>
      </c>
      <c r="F61" s="17" t="s">
        <v>38</v>
      </c>
      <c r="G61" s="17" t="s">
        <v>89</v>
      </c>
      <c r="H61" s="17" t="s">
        <v>92</v>
      </c>
      <c r="I61" s="17" t="s">
        <v>91</v>
      </c>
      <c r="J61" s="31" t="s">
        <v>84</v>
      </c>
      <c r="K61" s="31" t="s">
        <v>56</v>
      </c>
    </row>
    <row r="62" spans="1:11" ht="20.25">
      <c r="A62" s="17"/>
      <c r="B62" s="17"/>
      <c r="C62" s="17"/>
      <c r="D62" s="17"/>
      <c r="E62" s="17" t="s">
        <v>94</v>
      </c>
      <c r="F62" s="17"/>
      <c r="G62" s="17"/>
      <c r="H62" s="17"/>
      <c r="I62" s="17"/>
      <c r="K62" s="17"/>
    </row>
    <row r="63" spans="1:11" ht="20.25">
      <c r="A63" s="17" t="s">
        <v>11</v>
      </c>
      <c r="B63" s="17"/>
      <c r="C63" s="17"/>
      <c r="D63" s="34">
        <f aca="true" t="shared" si="0" ref="D63:K63">$J34*D$45</f>
        <v>5767.772416142789</v>
      </c>
      <c r="E63" s="34">
        <f t="shared" si="0"/>
        <v>3495.619646147145</v>
      </c>
      <c r="F63" s="34">
        <f t="shared" si="0"/>
        <v>1885.101153382864</v>
      </c>
      <c r="G63" s="34">
        <f t="shared" si="0"/>
        <v>1211.2452093114214</v>
      </c>
      <c r="H63" s="34">
        <f t="shared" si="0"/>
        <v>2287.2931533828637</v>
      </c>
      <c r="I63" s="34">
        <f t="shared" si="0"/>
        <v>2752.793153382864</v>
      </c>
      <c r="J63" s="34">
        <f t="shared" si="0"/>
        <v>5192.013153382864</v>
      </c>
      <c r="K63" s="34">
        <f t="shared" si="0"/>
        <v>1160.0899111411297</v>
      </c>
    </row>
    <row r="64" spans="1:9" ht="20.25">
      <c r="A64" s="17"/>
      <c r="B64" s="17"/>
      <c r="C64" s="17"/>
      <c r="D64" s="19"/>
      <c r="E64" s="19"/>
      <c r="F64" s="19"/>
      <c r="G64" s="19"/>
      <c r="H64" s="19"/>
      <c r="I64" s="19"/>
    </row>
    <row r="65" spans="1:11" ht="20.25">
      <c r="A65" s="17" t="s">
        <v>79</v>
      </c>
      <c r="B65" s="17"/>
      <c r="C65" s="17"/>
      <c r="D65" s="35">
        <f aca="true" t="shared" si="1" ref="D65:K65">$J$34*D$47</f>
        <v>3549.398409934024</v>
      </c>
      <c r="E65" s="35">
        <f t="shared" si="1"/>
        <v>2151.150551475166</v>
      </c>
      <c r="F65" s="35">
        <f t="shared" si="1"/>
        <v>1177.2499405433007</v>
      </c>
      <c r="G65" s="35">
        <f t="shared" si="1"/>
        <v>949.4623038733415</v>
      </c>
      <c r="H65" s="35">
        <f t="shared" si="1"/>
        <v>1579.4419405433007</v>
      </c>
      <c r="I65" s="35">
        <f t="shared" si="1"/>
        <v>2044.9419405433007</v>
      </c>
      <c r="J65" s="35">
        <f t="shared" si="1"/>
        <v>4484.161940543301</v>
      </c>
      <c r="K65" s="35">
        <f t="shared" si="1"/>
        <v>731.089176086849</v>
      </c>
    </row>
    <row r="66" spans="1:9" ht="20.25">
      <c r="A66" s="17"/>
      <c r="B66" s="17"/>
      <c r="C66" s="17"/>
      <c r="D66" s="20"/>
      <c r="E66" s="20"/>
      <c r="F66" s="20"/>
      <c r="G66" s="20"/>
      <c r="H66" s="20"/>
      <c r="I66" s="20"/>
    </row>
    <row r="67" spans="1:11" ht="20.25">
      <c r="A67" s="17" t="s">
        <v>80</v>
      </c>
      <c r="B67" s="17"/>
      <c r="C67" s="17"/>
      <c r="D67" s="35">
        <f aca="true" t="shared" si="2" ref="D67:K67">$J$34*D$49</f>
        <v>5012.746877187524</v>
      </c>
      <c r="E67" s="35">
        <f t="shared" si="2"/>
        <v>3038.0284104166813</v>
      </c>
      <c r="F67" s="35">
        <f t="shared" si="2"/>
        <v>1644.1833721708017</v>
      </c>
      <c r="G67" s="35">
        <f t="shared" si="2"/>
        <v>1122.147167811443</v>
      </c>
      <c r="H67" s="35">
        <f t="shared" si="2"/>
        <v>2046.3753721708015</v>
      </c>
      <c r="I67" s="35">
        <f t="shared" si="2"/>
        <v>2511.8753721708017</v>
      </c>
      <c r="J67" s="35">
        <f t="shared" si="2"/>
        <v>4951.095372170802</v>
      </c>
      <c r="K67" s="35">
        <f t="shared" si="2"/>
        <v>1014.0791346489707</v>
      </c>
    </row>
    <row r="68" spans="1:9" ht="20.25">
      <c r="A68" s="17"/>
      <c r="B68" s="17"/>
      <c r="C68" s="17"/>
      <c r="D68" s="20"/>
      <c r="E68" s="20"/>
      <c r="F68" s="20"/>
      <c r="G68" s="20"/>
      <c r="H68" s="20"/>
      <c r="I68" s="20"/>
    </row>
    <row r="69" spans="1:11" ht="20.25">
      <c r="A69" s="17" t="s">
        <v>81</v>
      </c>
      <c r="B69" s="17"/>
      <c r="C69" s="17"/>
      <c r="D69" s="35">
        <f aca="true" t="shared" si="3" ref="D69:K69">$J$34*D$51</f>
        <v>8041.151719347606</v>
      </c>
      <c r="E69" s="35">
        <f t="shared" si="3"/>
        <v>4873.425284453095</v>
      </c>
      <c r="F69" s="35">
        <f t="shared" si="3"/>
        <v>2610.503764716226</v>
      </c>
      <c r="G69" s="35">
        <f t="shared" si="3"/>
        <v>1479.5191060890181</v>
      </c>
      <c r="H69" s="35">
        <f t="shared" si="3"/>
        <v>3012.6957647162258</v>
      </c>
      <c r="I69" s="35">
        <f t="shared" si="3"/>
        <v>3478.195764716226</v>
      </c>
      <c r="J69" s="35">
        <f t="shared" si="3"/>
        <v>5917.4157647162265</v>
      </c>
      <c r="K69" s="35">
        <f t="shared" si="3"/>
        <v>1599.7278574037732</v>
      </c>
    </row>
    <row r="70" spans="1:9" ht="20.25">
      <c r="A70" s="17"/>
      <c r="B70" s="17"/>
      <c r="C70" s="17"/>
      <c r="D70" s="20"/>
      <c r="E70" s="20"/>
      <c r="F70" s="20"/>
      <c r="G70" s="20"/>
      <c r="H70" s="20"/>
      <c r="I70" s="20"/>
    </row>
    <row r="71" spans="1:11" ht="20.25">
      <c r="A71" s="17" t="s">
        <v>82</v>
      </c>
      <c r="B71" s="17"/>
      <c r="C71" s="17"/>
      <c r="D71" s="35">
        <f aca="true" t="shared" si="4" ref="D71:K71">$J$34*D$53</f>
        <v>6106.957909807887</v>
      </c>
      <c r="E71" s="35">
        <f t="shared" si="4"/>
        <v>3701.1866120047803</v>
      </c>
      <c r="F71" s="35">
        <f t="shared" si="4"/>
        <v>1993.3303619817996</v>
      </c>
      <c r="G71" s="35">
        <f t="shared" si="4"/>
        <v>1251.2713562846484</v>
      </c>
      <c r="H71" s="35">
        <f t="shared" si="4"/>
        <v>2395.5223619818</v>
      </c>
      <c r="I71" s="35">
        <f t="shared" si="4"/>
        <v>2861.0223619817993</v>
      </c>
      <c r="J71" s="35">
        <f t="shared" si="4"/>
        <v>5300.2423619818</v>
      </c>
      <c r="K71" s="35">
        <f t="shared" si="4"/>
        <v>1225.6833708980605</v>
      </c>
    </row>
    <row r="72" spans="1:9" ht="20.25">
      <c r="A72" s="17"/>
      <c r="B72" s="17"/>
      <c r="C72" s="17"/>
      <c r="D72" s="20"/>
      <c r="E72" s="20"/>
      <c r="F72" s="20"/>
      <c r="G72" s="20"/>
      <c r="H72" s="20"/>
      <c r="I72" s="20"/>
    </row>
    <row r="73" spans="1:11" ht="20.25">
      <c r="A73" s="17" t="s">
        <v>16</v>
      </c>
      <c r="B73" s="17"/>
      <c r="C73" s="17"/>
      <c r="D73" s="35">
        <f aca="true" t="shared" si="5" ref="D73:K73">$J$34*D$55</f>
        <v>11371.46634136795</v>
      </c>
      <c r="E73" s="35">
        <f t="shared" si="5"/>
        <v>6891.797782647242</v>
      </c>
      <c r="F73" s="35">
        <f t="shared" si="5"/>
        <v>3673.1592221533638</v>
      </c>
      <c r="G73" s="35">
        <f t="shared" si="5"/>
        <v>1872.5184088825802</v>
      </c>
      <c r="H73" s="35">
        <f t="shared" si="5"/>
        <v>4075.3512221533642</v>
      </c>
      <c r="I73" s="35">
        <f t="shared" si="5"/>
        <v>4540.851222153364</v>
      </c>
      <c r="J73" s="35">
        <f t="shared" si="5"/>
        <v>6980.071222153364</v>
      </c>
      <c r="K73" s="35">
        <f t="shared" si="5"/>
        <v>2243.761467971736</v>
      </c>
    </row>
    <row r="74" spans="1:9" ht="20.25">
      <c r="A74" s="17"/>
      <c r="B74" s="17"/>
      <c r="C74" s="17"/>
      <c r="D74" s="35"/>
      <c r="E74" s="35"/>
      <c r="F74" s="35"/>
      <c r="G74" s="35"/>
      <c r="H74" s="35"/>
      <c r="I74" s="35"/>
    </row>
    <row r="75" spans="1:9" ht="20.25">
      <c r="A75" s="17"/>
      <c r="B75" s="17"/>
      <c r="C75" s="17"/>
      <c r="D75" s="35"/>
      <c r="E75" s="35"/>
      <c r="F75" s="35"/>
      <c r="G75" s="35"/>
      <c r="H75" s="35"/>
      <c r="I75" s="35"/>
    </row>
    <row r="76" spans="1:8" ht="12.75">
      <c r="A76" s="1" t="s">
        <v>70</v>
      </c>
      <c r="E76" s="1" t="s">
        <v>63</v>
      </c>
      <c r="G76" s="1" t="s">
        <v>34</v>
      </c>
      <c r="H76" s="1" t="s">
        <v>44</v>
      </c>
    </row>
    <row r="77" spans="5:8" ht="12.75">
      <c r="E77" s="1" t="s">
        <v>33</v>
      </c>
      <c r="G77" s="1" t="s">
        <v>35</v>
      </c>
      <c r="H77" s="1" t="s">
        <v>45</v>
      </c>
    </row>
    <row r="78" spans="1:8" ht="12.75">
      <c r="A78" t="s">
        <v>2</v>
      </c>
      <c r="E78" s="10">
        <f>(F29/C22)*(F22/G14)</f>
        <v>0.09702391304347825</v>
      </c>
      <c r="G78" s="13">
        <f>((86/E7)-1)*E78</f>
        <v>4.054247988319274</v>
      </c>
      <c r="H78" s="12">
        <f>E10/(86/E7)*G78</f>
        <v>6632.9382785642065</v>
      </c>
    </row>
    <row r="79" spans="1:8" ht="12.75">
      <c r="A79" t="s">
        <v>28</v>
      </c>
      <c r="E79" s="7">
        <f>(F29/C24)*(F24/G15)</f>
        <v>0.13526608695652173</v>
      </c>
      <c r="G79" s="3">
        <f>((86/E7)-1)*E79</f>
        <v>5.652238131083712</v>
      </c>
      <c r="H79" s="9">
        <f>G79*(E10/(86/E7))</f>
        <v>9247.324477249747</v>
      </c>
    </row>
    <row r="80" spans="1:8" ht="12.75">
      <c r="A80" t="s">
        <v>27</v>
      </c>
      <c r="E80" s="7">
        <f>(F29/C25)*F25/G15</f>
        <v>0.10272959999999999</v>
      </c>
      <c r="G80" s="3">
        <f>((86/E7)-1)*E80</f>
        <v>4.292666220895523</v>
      </c>
      <c r="H80" s="9">
        <f>G80*(E10/(86/E7))</f>
        <v>7023.001596279069</v>
      </c>
    </row>
    <row r="81" spans="1:8" ht="12.75">
      <c r="A81" t="s">
        <v>5</v>
      </c>
      <c r="E81" s="7">
        <f>(F29/C22)*(F22/G16)</f>
        <v>0.05970702341137124</v>
      </c>
      <c r="G81" s="3">
        <f>((86/E7)-1)*E81</f>
        <v>2.4949218389657073</v>
      </c>
      <c r="H81" s="9">
        <f>G81*(E10/(86/E7))</f>
        <v>4081.8081714241275</v>
      </c>
    </row>
    <row r="82" spans="1:8" ht="12.75">
      <c r="A82" t="s">
        <v>54</v>
      </c>
      <c r="E82" s="7">
        <f>(F29/C23)*(F23/G16)</f>
        <v>0.08432307692307692</v>
      </c>
      <c r="G82" s="3">
        <f>((86/E7)-1)*E82</f>
        <v>3.5235299655568317</v>
      </c>
      <c r="H82" s="9">
        <f>G82*(E10/(86/E7))</f>
        <v>5764.658908765653</v>
      </c>
    </row>
    <row r="83" spans="1:8" ht="12.75">
      <c r="A83" t="s">
        <v>26</v>
      </c>
      <c r="E83" s="7">
        <f>(F29/C26)*(F26/G15)</f>
        <v>0.19128774193548387</v>
      </c>
      <c r="G83" s="3">
        <f>((86/E7)-1)*E83</f>
        <v>7.9931629080404445</v>
      </c>
      <c r="H83" s="9">
        <f>G83*(E10/(86/E7))</f>
        <v>13077.186292573144</v>
      </c>
    </row>
    <row r="84" spans="8:12" ht="12.75">
      <c r="H84" s="7"/>
      <c r="J84" s="3"/>
      <c r="L84" s="4"/>
    </row>
    <row r="85" spans="1:12" ht="12.75">
      <c r="A85" s="1" t="s">
        <v>29</v>
      </c>
      <c r="H85" s="7"/>
      <c r="J85" s="3"/>
      <c r="L85" s="4"/>
    </row>
    <row r="86" spans="1:12" ht="12.75">
      <c r="A86" s="1"/>
      <c r="H86" s="7"/>
      <c r="J86" s="3"/>
      <c r="L86" s="4"/>
    </row>
    <row r="87" spans="1:8" ht="12.75">
      <c r="A87" t="s">
        <v>2</v>
      </c>
      <c r="E87" s="10">
        <f>(F29/C22)*(F22/(G14*(1+G17)))</f>
        <v>0.0843686200378072</v>
      </c>
      <c r="G87" s="11">
        <f>((86/E7)-1)*E87</f>
        <v>3.525433033321108</v>
      </c>
      <c r="H87" s="12">
        <f>G87*(E10/(86/E7))</f>
        <v>5767.772416142789</v>
      </c>
    </row>
    <row r="88" spans="1:8" ht="12.75">
      <c r="A88" t="s">
        <v>28</v>
      </c>
      <c r="E88" s="7">
        <f>(F29/C24)/(G15*(1+G17))*F24</f>
        <v>0.1176226843100189</v>
      </c>
      <c r="G88" s="3">
        <f>E88*((86/E7)-1)</f>
        <v>4.914989679203228</v>
      </c>
      <c r="H88" s="9">
        <f>G88*(E10/(86/E7))</f>
        <v>8041.151719347606</v>
      </c>
    </row>
    <row r="89" spans="1:8" ht="12.75">
      <c r="A89" t="s">
        <v>27</v>
      </c>
      <c r="E89" s="7">
        <f>(F29/C25)/(G15*(1+G17))*F25</f>
        <v>0.08933008695652174</v>
      </c>
      <c r="G89" s="3">
        <f>E89*((86/E7)-1)</f>
        <v>3.7327532355613244</v>
      </c>
      <c r="H89" s="9">
        <f>G89*(E10/(86/E7))</f>
        <v>6106.957909807887</v>
      </c>
    </row>
    <row r="90" spans="1:8" ht="12.75">
      <c r="A90" t="s">
        <v>5</v>
      </c>
      <c r="E90" s="7">
        <f>(F29/C22)/(G16*(1+G17))*F22</f>
        <v>0.05191915079249673</v>
      </c>
      <c r="G90" s="3">
        <f>E90*((86/E7)-1)</f>
        <v>2.169497251274528</v>
      </c>
      <c r="H90" s="9">
        <f>G90*(E10/(86/E7))</f>
        <v>3549.398409934024</v>
      </c>
    </row>
    <row r="91" spans="1:8" ht="12.75">
      <c r="A91" t="s">
        <v>54</v>
      </c>
      <c r="E91" s="7">
        <f>(F29/C23)/(G16*(1+G17))*F23</f>
        <v>0.07332441471571906</v>
      </c>
      <c r="G91" s="3">
        <f>E91*((86/E7)-1)</f>
        <v>3.0639391004842014</v>
      </c>
      <c r="H91" s="9">
        <f>G91*(E10/(86/E7))</f>
        <v>5012.746877187524</v>
      </c>
    </row>
    <row r="92" spans="1:8" ht="12.75">
      <c r="A92" t="s">
        <v>26</v>
      </c>
      <c r="E92" s="7">
        <f>(F29/C26)/(G15*(1+G17))*F26</f>
        <v>0.16633716690042075</v>
      </c>
      <c r="G92" s="3">
        <f>E92*((86/E7)-1)</f>
        <v>6.950576441774299</v>
      </c>
      <c r="H92" s="9">
        <f>G92*(E10/(86/E7))</f>
        <v>11371.46634136795</v>
      </c>
    </row>
    <row r="93" spans="7:12" ht="12.75">
      <c r="G93" s="3"/>
      <c r="L93" s="4"/>
    </row>
    <row r="94" spans="1:12" ht="12.75">
      <c r="A94" s="1" t="s">
        <v>31</v>
      </c>
      <c r="L94" s="4"/>
    </row>
    <row r="95" ht="12.75">
      <c r="L95" s="4"/>
    </row>
    <row r="96" spans="1:8" ht="12.75">
      <c r="A96" t="s">
        <v>2</v>
      </c>
      <c r="E96" s="14">
        <f aca="true" t="shared" si="6" ref="E96:E101">E87/(1+$G$18)</f>
        <v>0.051132496992610424</v>
      </c>
      <c r="G96" s="11">
        <f>E96*((86/E7)-1)</f>
        <v>2.1366260808006716</v>
      </c>
      <c r="H96" s="12">
        <f>G96*(E10/(86/E7))</f>
        <v>3495.619646147145</v>
      </c>
    </row>
    <row r="97" spans="1:8" ht="12.75">
      <c r="A97" t="s">
        <v>30</v>
      </c>
      <c r="E97" s="14">
        <f t="shared" si="6"/>
        <v>0.0712864753394054</v>
      </c>
      <c r="G97" s="3">
        <f>E97*((86/E7)-1)</f>
        <v>2.9787816237595326</v>
      </c>
      <c r="H97" s="9">
        <f>G97*(E10/(86/E7))</f>
        <v>4873.425284453095</v>
      </c>
    </row>
    <row r="98" spans="1:8" ht="12.75">
      <c r="A98" t="s">
        <v>27</v>
      </c>
      <c r="E98" s="14">
        <f t="shared" si="6"/>
        <v>0.05413944664031621</v>
      </c>
      <c r="G98" s="3">
        <f>E98*((86/E7)-1)</f>
        <v>2.2622746882189846</v>
      </c>
      <c r="H98" s="9">
        <f>G98*(E10/(86/E7))</f>
        <v>3701.1866120047803</v>
      </c>
    </row>
    <row r="99" spans="1:8" ht="12.75">
      <c r="A99" t="s">
        <v>5</v>
      </c>
      <c r="E99" s="14">
        <f t="shared" si="6"/>
        <v>0.031466151995452565</v>
      </c>
      <c r="G99" s="3">
        <f>E99*((86/E7)-1)</f>
        <v>1.3148468189542595</v>
      </c>
      <c r="H99" s="9">
        <f>G99*(E10/(86/E7))</f>
        <v>2151.150551475166</v>
      </c>
    </row>
    <row r="100" spans="1:8" ht="12.75">
      <c r="A100" t="s">
        <v>54</v>
      </c>
      <c r="E100" s="14">
        <f t="shared" si="6"/>
        <v>0.044439039221647915</v>
      </c>
      <c r="G100" s="3">
        <f>E100*((86/E7)-1)</f>
        <v>1.8569327881722433</v>
      </c>
      <c r="H100" s="9">
        <f>G100*(E10/(86/E7))</f>
        <v>3038.0284104166813</v>
      </c>
    </row>
    <row r="101" spans="1:8" ht="12.75">
      <c r="A101" t="s">
        <v>26</v>
      </c>
      <c r="E101" s="14">
        <f t="shared" si="6"/>
        <v>0.10081040418207318</v>
      </c>
      <c r="G101" s="3">
        <f>E101*((86/E7)-1)</f>
        <v>4.212470570772302</v>
      </c>
      <c r="H101" s="9">
        <f>G101*(E10/(86/E7))</f>
        <v>6891.797782647242</v>
      </c>
    </row>
    <row r="102" ht="12.75">
      <c r="J102" s="3"/>
    </row>
    <row r="103" spans="1:10" ht="12.75">
      <c r="A103" s="1" t="s">
        <v>46</v>
      </c>
      <c r="H103" s="1" t="s">
        <v>32</v>
      </c>
      <c r="J103" s="3"/>
    </row>
    <row r="104" spans="8:10" ht="12.75">
      <c r="H104" s="1" t="s">
        <v>33</v>
      </c>
      <c r="J104" s="3"/>
    </row>
    <row r="105" spans="8:10" ht="12.75">
      <c r="H105" s="1"/>
      <c r="J105" s="3"/>
    </row>
    <row r="106" spans="1:10" ht="12.75">
      <c r="A106" t="s">
        <v>20</v>
      </c>
      <c r="H106" s="14">
        <f>E34*F27</f>
        <v>0.00096</v>
      </c>
      <c r="J106" s="3"/>
    </row>
    <row r="107" spans="1:10" ht="12.75">
      <c r="A107" t="s">
        <v>21</v>
      </c>
      <c r="H107" s="2">
        <f>E35*F27</f>
        <v>0.0096</v>
      </c>
      <c r="J107" s="3"/>
    </row>
    <row r="108" spans="1:10" ht="12.75">
      <c r="A108" t="s">
        <v>22</v>
      </c>
      <c r="H108" s="2">
        <f>E36*F27</f>
        <v>0.0088</v>
      </c>
      <c r="J108" s="3"/>
    </row>
    <row r="109" spans="1:10" ht="12.75">
      <c r="A109" t="s">
        <v>23</v>
      </c>
      <c r="H109" s="2">
        <f>E37*F27</f>
        <v>0.0196</v>
      </c>
      <c r="J109" s="3"/>
    </row>
    <row r="110" spans="1:10" ht="12.75">
      <c r="A110" t="s">
        <v>36</v>
      </c>
      <c r="H110" s="2">
        <f>E38*F27</f>
        <v>0.07200000000000001</v>
      </c>
      <c r="J110" s="3"/>
    </row>
    <row r="113" spans="1:6" ht="12.75">
      <c r="A113" s="1" t="s">
        <v>67</v>
      </c>
      <c r="B113" s="1"/>
      <c r="C113" s="1"/>
      <c r="D113" s="1"/>
      <c r="E113" s="1"/>
      <c r="F113" s="1"/>
    </row>
    <row r="114" ht="12.75">
      <c r="A114" s="1" t="s">
        <v>68</v>
      </c>
    </row>
    <row r="115" ht="12.75">
      <c r="A115" s="1"/>
    </row>
    <row r="116" spans="5:9" ht="12.75">
      <c r="E116" s="1" t="s">
        <v>37</v>
      </c>
      <c r="F116" s="1" t="s">
        <v>64</v>
      </c>
      <c r="G116" s="1" t="s">
        <v>40</v>
      </c>
      <c r="H116" s="1" t="s">
        <v>78</v>
      </c>
      <c r="I116" s="1" t="s">
        <v>43</v>
      </c>
    </row>
    <row r="117" spans="5:9" ht="12.75">
      <c r="E117" s="1" t="s">
        <v>38</v>
      </c>
      <c r="F117" s="1" t="s">
        <v>39</v>
      </c>
      <c r="G117" s="1" t="s">
        <v>41</v>
      </c>
      <c r="H117" s="1" t="s">
        <v>42</v>
      </c>
      <c r="I117" s="1" t="s">
        <v>39</v>
      </c>
    </row>
    <row r="120" spans="1:9" ht="12.75">
      <c r="A120" t="s">
        <v>2</v>
      </c>
      <c r="E120" s="11">
        <f>((86/E7-86/E8)*H106)+(((86/E8)-1)*E96)</f>
        <v>0.7090812534338107</v>
      </c>
      <c r="F120" s="11">
        <f>((86/E7-86/E8)*H107)+(((86/E8)-1)*E96)</f>
        <v>0.9549128952248555</v>
      </c>
      <c r="G120" s="11">
        <f>((86/E7-86/E8)*H108)+(((86/E8)-1)*E96)</f>
        <v>0.9321507061701291</v>
      </c>
      <c r="H120" s="11">
        <f>((86/E7-86/E8)*H109)+(((86/E8)-1)*E96)</f>
        <v>1.2394402584089352</v>
      </c>
      <c r="I120" s="11">
        <f>((86/E7-86/E8)*H110)+(((86/E8)-1)*E96)</f>
        <v>2.730363641493513</v>
      </c>
    </row>
    <row r="121" spans="1:9" ht="12.75">
      <c r="A121" t="s">
        <v>30</v>
      </c>
      <c r="E121" s="3">
        <f>((86/E7-86/E8)*H106)+(((86/E8)-1)*E97)</f>
        <v>0.9778009647244102</v>
      </c>
      <c r="F121" s="3">
        <f>((86/$E$7-86/$E$8)*H107)+(((86/$E$8)-1)*E97)</f>
        <v>1.223632606515455</v>
      </c>
      <c r="G121" s="3">
        <f>((86/$E$7-86/$E$8)*H108)+(((86/$E$8)-1)*E97)</f>
        <v>1.2008704174607288</v>
      </c>
      <c r="H121" s="3">
        <f>((86/$E$7-86/$E$8)*H109)+(((86/$E$8)-1)*E97)</f>
        <v>1.5081599696995347</v>
      </c>
      <c r="I121" s="3">
        <f>((86/$E$7-86/$E$8)*H110)+(((86/$E$8)-1)*E97)</f>
        <v>2.9990833527841123</v>
      </c>
    </row>
    <row r="122" spans="1:9" ht="12.75">
      <c r="A122" t="s">
        <v>27</v>
      </c>
      <c r="E122" s="3">
        <f>((86/$E$7-86/$E$8)*H106)+(((86/$E$8)-1)*E98)</f>
        <v>0.7491739154032212</v>
      </c>
      <c r="F122" s="3">
        <f>((86/$E$7-86/$E$8)*H107)+(((86/$E$8)-1)*E98)</f>
        <v>0.995005557194266</v>
      </c>
      <c r="G122" s="3">
        <f>((86/$E$7-86/$E$8)*H108)+(((86/$E$8)-1)*$E$98)</f>
        <v>0.9722433681395397</v>
      </c>
      <c r="H122" s="3">
        <f>((86/$E$7-86/$E$8)*H109)+(((86/$E$8)-1)*$E$98)</f>
        <v>1.2795329203783457</v>
      </c>
      <c r="I122" s="3">
        <f>((86/$E$7-86/$E$8)*H110)+(((86/$E$8)-1)*$E$98)</f>
        <v>2.7704563034629235</v>
      </c>
    </row>
    <row r="123" spans="1:9" ht="12.75">
      <c r="A123" t="s">
        <v>5</v>
      </c>
      <c r="E123" s="3">
        <f>((86/$E$7-86/$E$8)*H106)+(((86/$E$8)-1)*$E$99)</f>
        <v>0.44686332013837254</v>
      </c>
      <c r="F123" s="3">
        <f>((86/$E$7-86/$E$8)*H107)+(((86/$E$8)-1)*$E$99)</f>
        <v>0.6926949619294174</v>
      </c>
      <c r="G123" s="3">
        <f>((86/$E$7-86/$E$8)*H108)+(((86/$E$8)-1)*$E$99)</f>
        <v>0.669932772874691</v>
      </c>
      <c r="H123" s="3">
        <f>((86/$E$7-86/$E$8)*H109)+(((86/$E$8)-1)*$E$99)</f>
        <v>0.977222325113497</v>
      </c>
      <c r="I123" s="3">
        <f>((86/$E$7-86/$E$8)*H110)+(((86/$E$8)-1)*$E$99)</f>
        <v>2.4681457081980747</v>
      </c>
    </row>
    <row r="124" spans="1:9" ht="12.75">
      <c r="A124" t="s">
        <v>54</v>
      </c>
      <c r="E124" s="3">
        <f>((86/$E$7-86/$E$8)*H106)+(((86/$E$8)-1)*$E$100)</f>
        <v>0.6198351498209772</v>
      </c>
      <c r="F124" s="3">
        <f>((86/$E$7-86/$E$8)*H107)+(((86/$E$8)-1)*$E$100)</f>
        <v>0.865666791612022</v>
      </c>
      <c r="G124" s="3">
        <f>((86/$E$7-86/$E$8)*H108)+(((86/$E$8)-1)*$E$100)</f>
        <v>0.8429046025572957</v>
      </c>
      <c r="H124" s="3">
        <f>((86/$E$7-86/$E$8)*H109)+(((86/$E$8)-1)*$E$100)</f>
        <v>1.1501941547961017</v>
      </c>
      <c r="I124" s="3">
        <f>((86/$E$7-86/$E$8)*H110)+(((86/$E$8)-1)*$E$100)</f>
        <v>2.6411175378806795</v>
      </c>
    </row>
    <row r="125" spans="1:9" ht="12.75">
      <c r="A125" t="s">
        <v>26</v>
      </c>
      <c r="E125" s="3">
        <f>((86/$E$7-86/$E$8)*H106)+(((86/$E$8)-1)*$E$101)</f>
        <v>1.371453349293314</v>
      </c>
      <c r="F125" s="3">
        <f>((86/$E$7-86/$E$8)*H107)+(((86/$E$8)-1)*$E$101)</f>
        <v>1.6172849910843587</v>
      </c>
      <c r="G125" s="3">
        <f>((86/$E$7-86/$E$8)*H108)+(((86/$E$8)-1)*$E$101)</f>
        <v>1.5945228020296325</v>
      </c>
      <c r="H125" s="3">
        <f>((86/$E$7-86/$E$8)*H109)+(((86/$E$8)-1)*$E$101)</f>
        <v>1.9018123542684386</v>
      </c>
      <c r="I125" s="3">
        <f>((86/$E$7-86/$E$8)*H110)+(((86/$E$8)-1)*$E$101)</f>
        <v>3.392735737353016</v>
      </c>
    </row>
    <row r="127" ht="12.75">
      <c r="A127" s="1" t="s">
        <v>71</v>
      </c>
    </row>
    <row r="128" spans="1:10" ht="12.75">
      <c r="A128" s="1" t="s">
        <v>72</v>
      </c>
      <c r="J128" s="1" t="s">
        <v>65</v>
      </c>
    </row>
    <row r="129" spans="1:10" ht="12.75">
      <c r="A129" s="1"/>
      <c r="J129" s="1"/>
    </row>
    <row r="130" spans="5:11" ht="12.75">
      <c r="E130" s="1" t="s">
        <v>37</v>
      </c>
      <c r="F130" s="1" t="s">
        <v>64</v>
      </c>
      <c r="G130" s="1" t="s">
        <v>40</v>
      </c>
      <c r="H130" s="1" t="s">
        <v>78</v>
      </c>
      <c r="I130" s="1" t="s">
        <v>43</v>
      </c>
      <c r="J130" s="1" t="s">
        <v>57</v>
      </c>
      <c r="K130" s="1" t="s">
        <v>55</v>
      </c>
    </row>
    <row r="131" spans="5:11" ht="12.75">
      <c r="E131" s="1" t="s">
        <v>38</v>
      </c>
      <c r="F131" s="1" t="s">
        <v>39</v>
      </c>
      <c r="G131" s="1" t="s">
        <v>41</v>
      </c>
      <c r="H131" s="1" t="s">
        <v>42</v>
      </c>
      <c r="I131" s="1" t="s">
        <v>39</v>
      </c>
      <c r="J131" s="1" t="s">
        <v>58</v>
      </c>
      <c r="K131" s="1" t="s">
        <v>56</v>
      </c>
    </row>
    <row r="133" spans="1:11" ht="12.75">
      <c r="A133" t="s">
        <v>2</v>
      </c>
      <c r="E133" s="12">
        <f aca="true" t="shared" si="7" ref="E133:I138">(($E$10/(86/$E$7)-1)*E120)</f>
        <v>1159.3808298876959</v>
      </c>
      <c r="F133" s="12">
        <f t="shared" si="7"/>
        <v>1561.3269982459046</v>
      </c>
      <c r="G133" s="12">
        <f t="shared" si="7"/>
        <v>1524.1097604349595</v>
      </c>
      <c r="H133" s="12">
        <f t="shared" si="7"/>
        <v>2026.5424708827209</v>
      </c>
      <c r="I133" s="12">
        <f t="shared" si="7"/>
        <v>4464.271547499637</v>
      </c>
      <c r="J133" s="12">
        <f aca="true" t="shared" si="8" ref="J133:J138">H87</f>
        <v>5767.772416142789</v>
      </c>
      <c r="K133" s="12">
        <f aca="true" t="shared" si="9" ref="K133:K138">H96</f>
        <v>3495.619646147145</v>
      </c>
    </row>
    <row r="134" spans="1:11" ht="12.75">
      <c r="A134" t="s">
        <v>30</v>
      </c>
      <c r="E134" s="9">
        <f t="shared" si="7"/>
        <v>1598.7500564390489</v>
      </c>
      <c r="F134" s="9">
        <f t="shared" si="7"/>
        <v>2000.6962247972579</v>
      </c>
      <c r="G134" s="9">
        <f t="shared" si="7"/>
        <v>1963.4789869863127</v>
      </c>
      <c r="H134" s="9">
        <f t="shared" si="7"/>
        <v>2465.9116974340736</v>
      </c>
      <c r="I134" s="9">
        <f t="shared" si="7"/>
        <v>4903.640774050989</v>
      </c>
      <c r="J134" s="9">
        <f t="shared" si="8"/>
        <v>8041.151719347606</v>
      </c>
      <c r="K134" s="9">
        <f t="shared" si="9"/>
        <v>4873.425284453095</v>
      </c>
    </row>
    <row r="135" spans="1:11" ht="12.75">
      <c r="A135" t="s">
        <v>27</v>
      </c>
      <c r="E135" s="9">
        <f t="shared" si="7"/>
        <v>1224.9341969826573</v>
      </c>
      <c r="F135" s="9">
        <f t="shared" si="7"/>
        <v>1626.8803653408663</v>
      </c>
      <c r="G135" s="9">
        <f t="shared" si="7"/>
        <v>1589.6631275299212</v>
      </c>
      <c r="H135" s="9">
        <f t="shared" si="7"/>
        <v>2092.095837977682</v>
      </c>
      <c r="I135" s="9">
        <f t="shared" si="7"/>
        <v>4529.824914594598</v>
      </c>
      <c r="J135" s="9">
        <f t="shared" si="8"/>
        <v>6106.957909807887</v>
      </c>
      <c r="K135" s="9">
        <f t="shared" si="9"/>
        <v>3701.1866120047803</v>
      </c>
    </row>
    <row r="136" spans="1:11" ht="12.75">
      <c r="A136" t="s">
        <v>5</v>
      </c>
      <c r="E136" s="9">
        <f t="shared" si="7"/>
        <v>730.6423127667106</v>
      </c>
      <c r="F136" s="9">
        <f t="shared" si="7"/>
        <v>1132.5884811249196</v>
      </c>
      <c r="G136" s="9">
        <f t="shared" si="7"/>
        <v>1095.3712433139742</v>
      </c>
      <c r="H136" s="9">
        <f t="shared" si="7"/>
        <v>1597.8039537617356</v>
      </c>
      <c r="I136" s="9">
        <f t="shared" si="7"/>
        <v>4035.5330303786513</v>
      </c>
      <c r="J136" s="9">
        <f t="shared" si="8"/>
        <v>3549.398409934024</v>
      </c>
      <c r="K136" s="9">
        <f t="shared" si="9"/>
        <v>2151.150551475166</v>
      </c>
    </row>
    <row r="137" spans="1:11" ht="12.75">
      <c r="A137" t="s">
        <v>54</v>
      </c>
      <c r="E137" s="9">
        <f t="shared" si="7"/>
        <v>1013.4592994991497</v>
      </c>
      <c r="F137" s="9">
        <f t="shared" si="7"/>
        <v>1415.4054678573586</v>
      </c>
      <c r="G137" s="9">
        <f t="shared" si="7"/>
        <v>1378.1882300464135</v>
      </c>
      <c r="H137" s="9">
        <f t="shared" si="7"/>
        <v>1880.6209404941746</v>
      </c>
      <c r="I137" s="9">
        <f t="shared" si="7"/>
        <v>4318.350017111091</v>
      </c>
      <c r="J137" s="9">
        <f t="shared" si="8"/>
        <v>5012.746877187524</v>
      </c>
      <c r="K137" s="9">
        <f t="shared" si="9"/>
        <v>3038.0284104166813</v>
      </c>
    </row>
    <row r="138" spans="1:11" ht="12.75">
      <c r="A138" t="s">
        <v>26</v>
      </c>
      <c r="E138" s="9">
        <f t="shared" si="7"/>
        <v>2242.3900146224423</v>
      </c>
      <c r="F138" s="9">
        <f t="shared" si="7"/>
        <v>2644.336182980651</v>
      </c>
      <c r="G138" s="9">
        <f t="shared" si="7"/>
        <v>2607.118945169706</v>
      </c>
      <c r="H138" s="9">
        <f t="shared" si="7"/>
        <v>3109.5516556174675</v>
      </c>
      <c r="I138" s="9">
        <f t="shared" si="7"/>
        <v>5547.280732234383</v>
      </c>
      <c r="J138" s="9">
        <f t="shared" si="8"/>
        <v>11371.46634136795</v>
      </c>
      <c r="K138" s="9">
        <f t="shared" si="9"/>
        <v>6891.797782647242</v>
      </c>
    </row>
    <row r="140" spans="1:6" ht="12.75">
      <c r="A140" s="1" t="s">
        <v>69</v>
      </c>
      <c r="B140" s="1"/>
      <c r="C140" s="1"/>
      <c r="D140" s="1"/>
      <c r="E140" s="1"/>
      <c r="F140" s="1"/>
    </row>
    <row r="141" ht="12.75">
      <c r="A141" s="1" t="s">
        <v>68</v>
      </c>
    </row>
    <row r="142" ht="12.75">
      <c r="A142" s="1"/>
    </row>
    <row r="143" spans="5:9" ht="12.75">
      <c r="E143" s="1" t="s">
        <v>37</v>
      </c>
      <c r="F143" s="1" t="s">
        <v>64</v>
      </c>
      <c r="G143" s="1" t="s">
        <v>40</v>
      </c>
      <c r="H143" s="1" t="s">
        <v>78</v>
      </c>
      <c r="I143" s="1" t="s">
        <v>43</v>
      </c>
    </row>
    <row r="144" spans="5:9" ht="12.75">
      <c r="E144" s="1" t="s">
        <v>38</v>
      </c>
      <c r="F144" s="1" t="s">
        <v>39</v>
      </c>
      <c r="G144" s="1" t="s">
        <v>41</v>
      </c>
      <c r="H144" s="1" t="s">
        <v>42</v>
      </c>
      <c r="I144" s="1" t="s">
        <v>39</v>
      </c>
    </row>
    <row r="147" spans="1:11" ht="12.75">
      <c r="A147" t="s">
        <v>2</v>
      </c>
      <c r="E147" s="11">
        <f aca="true" t="shared" si="10" ref="E147:E152">((86/$E$7-86/$E$8)*$H$106)+(((86/$E$8)-1)*E87)</f>
        <v>1.152229560703101</v>
      </c>
      <c r="F147" s="11">
        <f aca="true" t="shared" si="11" ref="F147:F152">((86/$E$7-86/$E$8)*$H$107)+(((86/$E$8)-1)*E87)</f>
        <v>1.3980612024941457</v>
      </c>
      <c r="G147" s="11">
        <f aca="true" t="shared" si="12" ref="G147:G152">((86/$E$7-86/$E$9)*$H$108)+(((86/$E$9)-1)*E87)</f>
        <v>0.7403488841562349</v>
      </c>
      <c r="H147" s="11">
        <f aca="true" t="shared" si="13" ref="H147:H152">((86/$E$7-86/$E$8)*$H$109)+(((86/$E$8)-1)*E87)</f>
        <v>1.6825885656782256</v>
      </c>
      <c r="I147" s="11">
        <f aca="true" t="shared" si="14" ref="I147:I152">((86/$E$7-86/$E$8)*$H$110)+(((86/$E$8)-1)*E87)</f>
        <v>3.173511948762803</v>
      </c>
      <c r="K147" s="9"/>
    </row>
    <row r="148" spans="1:11" ht="12.75">
      <c r="A148" t="s">
        <v>30</v>
      </c>
      <c r="E148" s="3">
        <f t="shared" si="10"/>
        <v>1.5956170843325905</v>
      </c>
      <c r="F148" s="3">
        <f t="shared" si="11"/>
        <v>1.8414487261236352</v>
      </c>
      <c r="G148" s="3">
        <f t="shared" si="12"/>
        <v>0.9043258217743823</v>
      </c>
      <c r="H148" s="3">
        <f t="shared" si="13"/>
        <v>2.125976089307715</v>
      </c>
      <c r="I148" s="3">
        <f t="shared" si="14"/>
        <v>3.6168994723922925</v>
      </c>
      <c r="K148" s="9"/>
    </row>
    <row r="149" spans="1:11" ht="12.75">
      <c r="A149" t="s">
        <v>27</v>
      </c>
      <c r="E149" s="3">
        <f t="shared" si="10"/>
        <v>1.2183824529526281</v>
      </c>
      <c r="F149" s="3">
        <f t="shared" si="11"/>
        <v>1.464214094743673</v>
      </c>
      <c r="G149" s="3">
        <f t="shared" si="12"/>
        <v>0.7648140486174824</v>
      </c>
      <c r="H149" s="3">
        <f t="shared" si="13"/>
        <v>1.7487414579277525</v>
      </c>
      <c r="I149" s="3">
        <f t="shared" si="14"/>
        <v>3.2396648410123303</v>
      </c>
      <c r="K149" s="9"/>
    </row>
    <row r="150" spans="1:11" ht="12.75">
      <c r="A150" t="s">
        <v>5</v>
      </c>
      <c r="E150" s="3">
        <f t="shared" si="10"/>
        <v>0.7195699707656281</v>
      </c>
      <c r="F150" s="3">
        <f t="shared" si="11"/>
        <v>0.9654016125566729</v>
      </c>
      <c r="G150" s="3">
        <f t="shared" si="12"/>
        <v>0.5803394323603936</v>
      </c>
      <c r="H150" s="3">
        <f t="shared" si="13"/>
        <v>1.2499289757407526</v>
      </c>
      <c r="I150" s="3">
        <f t="shared" si="14"/>
        <v>2.74085235882533</v>
      </c>
      <c r="K150" s="9"/>
    </row>
    <row r="151" spans="1:11" ht="12.75">
      <c r="A151" t="s">
        <v>54</v>
      </c>
      <c r="E151" s="3">
        <f t="shared" si="10"/>
        <v>1.0049734897419258</v>
      </c>
      <c r="F151" s="3">
        <f t="shared" si="11"/>
        <v>1.2508051315329705</v>
      </c>
      <c r="G151" s="3">
        <f t="shared" si="12"/>
        <v>0.6858895268783519</v>
      </c>
      <c r="H151" s="3">
        <f t="shared" si="13"/>
        <v>1.5353324947170504</v>
      </c>
      <c r="I151" s="3">
        <f t="shared" si="14"/>
        <v>3.0262558778016277</v>
      </c>
      <c r="K151" s="9"/>
    </row>
    <row r="152" spans="1:11" ht="12.75">
      <c r="A152" t="s">
        <v>26</v>
      </c>
      <c r="E152" s="3">
        <f t="shared" si="10"/>
        <v>2.2451435188712816</v>
      </c>
      <c r="F152" s="3">
        <f t="shared" si="11"/>
        <v>2.4909751606623267</v>
      </c>
      <c r="G152" s="3">
        <f t="shared" si="12"/>
        <v>1.1445386152373982</v>
      </c>
      <c r="H152" s="3">
        <f t="shared" si="13"/>
        <v>2.775502523846406</v>
      </c>
      <c r="I152" s="3">
        <f t="shared" si="14"/>
        <v>4.266425906930984</v>
      </c>
      <c r="K152" s="9"/>
    </row>
    <row r="155" ht="12.75">
      <c r="A155" s="1" t="s">
        <v>66</v>
      </c>
    </row>
    <row r="156" ht="12.75">
      <c r="J156" s="1" t="s">
        <v>65</v>
      </c>
    </row>
    <row r="157" spans="5:11" ht="12.75">
      <c r="E157" s="1" t="s">
        <v>37</v>
      </c>
      <c r="F157" s="1" t="s">
        <v>64</v>
      </c>
      <c r="G157" s="1" t="s">
        <v>40</v>
      </c>
      <c r="H157" s="1" t="s">
        <v>78</v>
      </c>
      <c r="I157" s="1" t="s">
        <v>43</v>
      </c>
      <c r="J157" s="1" t="s">
        <v>57</v>
      </c>
      <c r="K157" s="1"/>
    </row>
    <row r="158" spans="5:11" ht="12.75">
      <c r="E158" s="1" t="s">
        <v>38</v>
      </c>
      <c r="F158" s="1" t="s">
        <v>39</v>
      </c>
      <c r="G158" s="1" t="s">
        <v>41</v>
      </c>
      <c r="H158" s="1" t="s">
        <v>42</v>
      </c>
      <c r="I158" s="1" t="s">
        <v>39</v>
      </c>
      <c r="J158" s="1" t="s">
        <v>58</v>
      </c>
      <c r="K158" s="1"/>
    </row>
    <row r="160" spans="1:11" ht="12.75">
      <c r="A160" t="s">
        <v>2</v>
      </c>
      <c r="E160" s="12">
        <f aca="true" t="shared" si="15" ref="E160:I165">(($E$10/(86/$E$7)-1)*E147)</f>
        <v>1883.9489238221606</v>
      </c>
      <c r="F160" s="12">
        <f t="shared" si="15"/>
        <v>2285.8950921803694</v>
      </c>
      <c r="G160" s="12">
        <f t="shared" si="15"/>
        <v>1210.5048604272652</v>
      </c>
      <c r="H160" s="12">
        <f t="shared" si="15"/>
        <v>2751.1105648171856</v>
      </c>
      <c r="I160" s="12">
        <f t="shared" si="15"/>
        <v>5188.839641434101</v>
      </c>
      <c r="J160" s="12">
        <f aca="true" t="shared" si="16" ref="J160:J165">J133</f>
        <v>5767.772416142789</v>
      </c>
      <c r="K160" s="9"/>
    </row>
    <row r="161" spans="1:11" ht="12.75">
      <c r="A161" t="s">
        <v>30</v>
      </c>
      <c r="E161" s="9">
        <f t="shared" si="15"/>
        <v>2608.908147631894</v>
      </c>
      <c r="F161" s="9">
        <f t="shared" si="15"/>
        <v>3010.8543159901024</v>
      </c>
      <c r="G161" s="9">
        <f t="shared" si="15"/>
        <v>1478.6147802672438</v>
      </c>
      <c r="H161" s="9">
        <f t="shared" si="15"/>
        <v>3476.0697886269186</v>
      </c>
      <c r="I161" s="9">
        <f t="shared" si="15"/>
        <v>5913.798865243834</v>
      </c>
      <c r="J161" s="9">
        <f t="shared" si="16"/>
        <v>8041.151719347606</v>
      </c>
      <c r="K161" s="9"/>
    </row>
    <row r="162" spans="1:11" ht="12.75">
      <c r="A162" t="s">
        <v>27</v>
      </c>
      <c r="E162" s="9">
        <f t="shared" si="15"/>
        <v>1992.1119795288469</v>
      </c>
      <c r="F162" s="9">
        <f t="shared" si="15"/>
        <v>2394.058147887056</v>
      </c>
      <c r="G162" s="9">
        <f t="shared" si="15"/>
        <v>1250.5065422360308</v>
      </c>
      <c r="H162" s="9">
        <f t="shared" si="15"/>
        <v>2859.2736205238716</v>
      </c>
      <c r="I162" s="9">
        <f t="shared" si="15"/>
        <v>5297.002697140788</v>
      </c>
      <c r="J162" s="9">
        <f t="shared" si="16"/>
        <v>6106.957909807887</v>
      </c>
      <c r="K162" s="9"/>
    </row>
    <row r="163" spans="1:11" ht="12.75">
      <c r="A163" t="s">
        <v>5</v>
      </c>
      <c r="E163" s="9">
        <f t="shared" si="15"/>
        <v>1176.530370572535</v>
      </c>
      <c r="F163" s="9">
        <f t="shared" si="15"/>
        <v>1578.476538930744</v>
      </c>
      <c r="G163" s="9">
        <f t="shared" si="15"/>
        <v>948.8819644409812</v>
      </c>
      <c r="H163" s="9">
        <f t="shared" si="15"/>
        <v>2043.69201156756</v>
      </c>
      <c r="I163" s="9">
        <f t="shared" si="15"/>
        <v>4481.421088184476</v>
      </c>
      <c r="J163" s="9">
        <f t="shared" si="16"/>
        <v>3549.398409934024</v>
      </c>
      <c r="K163" s="9"/>
    </row>
    <row r="164" spans="1:11" ht="12.75">
      <c r="A164" t="s">
        <v>54</v>
      </c>
      <c r="E164" s="9">
        <f t="shared" si="15"/>
        <v>1643.1783986810597</v>
      </c>
      <c r="F164" s="9">
        <f t="shared" si="15"/>
        <v>2045.1245670392684</v>
      </c>
      <c r="G164" s="9">
        <f t="shared" si="15"/>
        <v>1121.4612782845647</v>
      </c>
      <c r="H164" s="9">
        <f t="shared" si="15"/>
        <v>2510.340039676085</v>
      </c>
      <c r="I164" s="9">
        <f t="shared" si="15"/>
        <v>4948.069116293001</v>
      </c>
      <c r="J164" s="9">
        <f t="shared" si="16"/>
        <v>5012.746877187524</v>
      </c>
      <c r="K164" s="9"/>
    </row>
    <row r="165" spans="1:11" ht="12.75">
      <c r="A165" t="s">
        <v>26</v>
      </c>
      <c r="E165" s="9">
        <f t="shared" si="15"/>
        <v>3670.9140786344924</v>
      </c>
      <c r="F165" s="9">
        <f t="shared" si="15"/>
        <v>4072.860246992702</v>
      </c>
      <c r="G165" s="9">
        <f t="shared" si="15"/>
        <v>1871.373870267343</v>
      </c>
      <c r="H165" s="9">
        <f t="shared" si="15"/>
        <v>4538.075719629517</v>
      </c>
      <c r="I165" s="9">
        <f t="shared" si="15"/>
        <v>6975.804796246433</v>
      </c>
      <c r="J165" s="9">
        <f t="shared" si="16"/>
        <v>11371.46634136795</v>
      </c>
      <c r="K165" s="9"/>
    </row>
  </sheetData>
  <printOptions/>
  <pageMargins left="0.25" right="0.25" top="1" bottom="1" header="0.5" footer="0.5"/>
  <pageSetup horizontalDpi="300" verticalDpi="300" orientation="landscape" r:id="rId1"/>
  <rowBreaks count="2" manualBreakCount="2">
    <brk id="74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Winship</dc:creator>
  <cp:keywords/>
  <dc:description/>
  <cp:lastModifiedBy>dlt5</cp:lastModifiedBy>
  <cp:lastPrinted>2001-01-06T01:09:52Z</cp:lastPrinted>
  <dcterms:created xsi:type="dcterms:W3CDTF">1998-05-27T19:09:07Z</dcterms:created>
  <dcterms:modified xsi:type="dcterms:W3CDTF">2005-01-13T11:55:51Z</dcterms:modified>
  <cp:category/>
  <cp:version/>
  <cp:contentType/>
  <cp:contentStatus/>
</cp:coreProperties>
</file>