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5456" windowHeight="10344" activeTab="1"/>
  </bookViews>
  <sheets>
    <sheet name="FEEDVAL" sheetId="1" r:id="rId1"/>
    <sheet name="Organic Print-out" sheetId="2" r:id="rId2"/>
  </sheets>
  <definedNames>
    <definedName name="\h">'FEEDVAL'!$U$5</definedName>
    <definedName name="\p">'FEEDVAL'!$U$15</definedName>
    <definedName name="\r">'FEEDVAL'!$U$17</definedName>
    <definedName name="\s">'FEEDVAL'!$U$13</definedName>
    <definedName name="\t">'FEEDVAL'!$U$9</definedName>
    <definedName name="\u">'FEEDVAL'!$U$11</definedName>
    <definedName name="\v">'FEEDVAL'!$U$7</definedName>
    <definedName name="_Key1" hidden="1">'FEEDVAL'!$J$182:$J$226</definedName>
    <definedName name="_Order1" hidden="1">0</definedName>
    <definedName name="_Regression_Int" localSheetId="0" hidden="1">1</definedName>
    <definedName name="_Sort" hidden="1">'FEEDVAL'!$B$182:$M$226</definedName>
    <definedName name="ADFADJ">'FEEDVAL'!$E$15</definedName>
    <definedName name="CA">'FEEDVAL'!$D$23</definedName>
    <definedName name="CORN">'FEEDVAL'!$C$13</definedName>
    <definedName name="CORN3">'FEEDVAL'!$O$36</definedName>
    <definedName name="CORN4">'FEEDVAL'!$O$38</definedName>
    <definedName name="CORNCA">'FEEDVAL'!$C$17</definedName>
    <definedName name="CORNCP">'FEEDVAL'!$C$15</definedName>
    <definedName name="CORNDM">'FEEDVAL'!$C$14</definedName>
    <definedName name="CORNDMCOST">'FEEDVAL'!$P$30</definedName>
    <definedName name="CORNP">'FEEDVAL'!$C$18</definedName>
    <definedName name="CORNTDN">'FEEDVAL'!$C$16</definedName>
    <definedName name="CP">'FEEDVAL'!$O$41</definedName>
    <definedName name="CPADJ">'FEEDVAL'!$E$14</definedName>
    <definedName name="CPCOST">'FEEDVAL'!$P$46</definedName>
    <definedName name="DCA">'FEEDVAL'!$J$17</definedName>
    <definedName name="DCCOST">'FEEDVAL'!$J$12</definedName>
    <definedName name="DCDM">'FEEDVAL'!$J$14</definedName>
    <definedName name="DCP">'FEEDVAL'!$J$18</definedName>
    <definedName name="FCOST">'FEEDVAL'!$C$12</definedName>
    <definedName name="FDM">'FEEDVAL'!$D$33:$D$61</definedName>
    <definedName name="GDM">'FEEDVAL'!$E$74:$E$119</definedName>
    <definedName name="I1_">'FEEDVAL'!$O$35</definedName>
    <definedName name="LCA">'FEEDVAL'!$H$17</definedName>
    <definedName name="LCOST">'FEEDVAL'!$H$12</definedName>
    <definedName name="LIMEDM">'FEEDVAL'!$H$14</definedName>
    <definedName name="LOSS1">'FEEDVAL'!$L$30</definedName>
    <definedName name="LOSS2">'FEEDVAL'!$M$30</definedName>
    <definedName name="LOSS3">'FEEDVAL'!$N$30</definedName>
    <definedName name="MACROS">'FEEDVAL'!$T$5:$U$15</definedName>
    <definedName name="MILKP">'FEEDVAL'!$C$12</definedName>
    <definedName name="NDFADJ">'FEEDVAL'!$E$16</definedName>
    <definedName name="P">'FEEDVAL'!$D$24</definedName>
    <definedName name="_xlnm.Print_Area" localSheetId="0">'FEEDVAL'!$A$1:$O$173</definedName>
    <definedName name="_xlnm.Print_Area" localSheetId="1">'Organic Print-out'!$A$1:$N$168</definedName>
    <definedName name="_xlnm.Print_Area">'FEEDVAL'!$A$1:$O$121</definedName>
    <definedName name="Print_Area_MI" localSheetId="0">'FEEDVAL'!$A$1:$O$121</definedName>
    <definedName name="RESULTS">'FEEDVAL'!$B$182:$M$226</definedName>
    <definedName name="SC2">'FEEDVAL'!$P$33</definedName>
    <definedName name="SOY">'FEEDVAL'!$E$13</definedName>
    <definedName name="SOY2">'FEEDVAL'!$P$32</definedName>
    <definedName name="SOY3">'FEEDVAL'!$O$35</definedName>
    <definedName name="SOY4">'FEEDVAL'!$O$37</definedName>
    <definedName name="SOYCA">'FEEDVAL'!$E$17</definedName>
    <definedName name="SOYCP">'FEEDVAL'!$E$15</definedName>
    <definedName name="SOYDM">'FEEDVAL'!$E$14</definedName>
    <definedName name="SOYDMCOST">'FEEDVAL'!$P$29</definedName>
    <definedName name="SOYP">'FEEDVAL'!$E$18</definedName>
    <definedName name="SOYTDN">'FEEDVAL'!$E$16</definedName>
    <definedName name="TDN">'FEEDVAL'!$O$42</definedName>
    <definedName name="TDNCOST">'FEEDVAL'!$P$47</definedName>
  </definedNames>
  <calcPr fullCalcOnLoad="1"/>
</workbook>
</file>

<file path=xl/sharedStrings.xml><?xml version="1.0" encoding="utf-8"?>
<sst xmlns="http://schemas.openxmlformats.org/spreadsheetml/2006/main" count="248" uniqueCount="142">
  <si>
    <t>FEEDVAL: Comparative Values Calculated from Crude Protein, TDN, Ca and P</t>
  </si>
  <si>
    <t xml:space="preserve"> Referee Feeds Used To Calculate Value Of Nutrients</t>
  </si>
  <si>
    <t xml:space="preserve"> W.T. Howard and Randy D. Shaver, University of Wisconsin-Madison</t>
  </si>
  <si>
    <t>RFV</t>
  </si>
  <si>
    <t>Macros:</t>
  </si>
  <si>
    <t>November 1997</t>
  </si>
  <si>
    <t>Date:</t>
  </si>
  <si>
    <t>\H</t>
  </si>
  <si>
    <t>/WWH</t>
  </si>
  <si>
    <t>Referee Feeds Used to Calculate Value of Nutrients</t>
  </si>
  <si>
    <t>\V</t>
  </si>
  <si>
    <t>/WWV</t>
  </si>
  <si>
    <t xml:space="preserve">  Item   </t>
  </si>
  <si>
    <t xml:space="preserve">  Energy</t>
  </si>
  <si>
    <t xml:space="preserve">     Protein</t>
  </si>
  <si>
    <t xml:space="preserve">    Calcium</t>
  </si>
  <si>
    <t xml:space="preserve">   Phosphorus</t>
  </si>
  <si>
    <t>\T</t>
  </si>
  <si>
    <t>/WWC</t>
  </si>
  <si>
    <t>Feed:</t>
  </si>
  <si>
    <t xml:space="preserve">Corn, Shelled </t>
  </si>
  <si>
    <t>48% CP Soy Meal</t>
  </si>
  <si>
    <t>Feed Limestone</t>
  </si>
  <si>
    <t>Dicalcium Phosphate</t>
  </si>
  <si>
    <t>\U</t>
  </si>
  <si>
    <t>/WWU</t>
  </si>
  <si>
    <t>Cost $</t>
  </si>
  <si>
    <t>$/Bu</t>
  </si>
  <si>
    <t>$/Ton</t>
  </si>
  <si>
    <t>$/cwt</t>
  </si>
  <si>
    <t>Calc $/cwt</t>
  </si>
  <si>
    <t>\S</t>
  </si>
  <si>
    <t>/WWS</t>
  </si>
  <si>
    <t>D.M., %</t>
  </si>
  <si>
    <t>C.P., %</t>
  </si>
  <si>
    <t>\P</t>
  </si>
  <si>
    <t>{HOME}/PPAGPQ</t>
  </si>
  <si>
    <t>TDN, %</t>
  </si>
  <si>
    <t>Ca, %</t>
  </si>
  <si>
    <t>\R</t>
  </si>
  <si>
    <t>/DS~RESULTS~G</t>
  </si>
  <si>
    <t>Phos., %</t>
  </si>
  <si>
    <t xml:space="preserve"> </t>
  </si>
  <si>
    <t>Calculated Value of Nutrients, C.P., TDN, Ca &amp; P</t>
  </si>
  <si>
    <t>Calcium, $/lb --------&gt;</t>
  </si>
  <si>
    <t xml:space="preserve"> Crude Protein, $/lb---&gt;</t>
  </si>
  <si>
    <t>Phosphorus, $/lb --&gt;</t>
  </si>
  <si>
    <t xml:space="preserve"> Energy, TDN $/lb-----&gt;</t>
  </si>
  <si>
    <t xml:space="preserve">Calculation of Value of </t>
  </si>
  <si>
    <t>Value of LB CP &amp; TDN</t>
  </si>
  <si>
    <t>Dry Matter</t>
  </si>
  <si>
    <t>Cost/CWT</t>
  </si>
  <si>
    <t>Calculated</t>
  </si>
  <si>
    <t>Value</t>
  </si>
  <si>
    <t xml:space="preserve">  Value $/Ton As Fed</t>
  </si>
  <si>
    <t xml:space="preserve">D.M. </t>
  </si>
  <si>
    <t>C.P.</t>
  </si>
  <si>
    <t xml:space="preserve">ADF </t>
  </si>
  <si>
    <t>NDF</t>
  </si>
  <si>
    <t>TDN</t>
  </si>
  <si>
    <t xml:space="preserve">Ca  </t>
  </si>
  <si>
    <t>Phos</t>
  </si>
  <si>
    <t xml:space="preserve"> $/ 100</t>
  </si>
  <si>
    <t xml:space="preserve">   Feeding Loss % </t>
  </si>
  <si>
    <t>Soybean Meal</t>
  </si>
  <si>
    <t>Value of</t>
  </si>
  <si>
    <t xml:space="preserve"> FORAGES</t>
  </si>
  <si>
    <t>%</t>
  </si>
  <si>
    <t>lb DM</t>
  </si>
  <si>
    <t>Corn</t>
  </si>
  <si>
    <t xml:space="preserve">44% Soy </t>
  </si>
  <si>
    <t xml:space="preserve">  Composition, % of Dry Matter </t>
  </si>
  <si>
    <t>And Corn</t>
  </si>
  <si>
    <t>Alfalfa -Bud</t>
  </si>
  <si>
    <t>Alfalfa 1ST Flower</t>
  </si>
  <si>
    <t>Alfalfa Mid Bloom</t>
  </si>
  <si>
    <t>Alfalfa Full Bloom</t>
  </si>
  <si>
    <t>Alf-Grass Bud</t>
  </si>
  <si>
    <t>Alf-Grass Mid Bloom</t>
  </si>
  <si>
    <t>Alf- Grass Mature</t>
  </si>
  <si>
    <t>Grass-Boot Stage</t>
  </si>
  <si>
    <t>Grass Heading</t>
  </si>
  <si>
    <t>Grass Mature</t>
  </si>
  <si>
    <t>Corn Silage-Ex.</t>
  </si>
  <si>
    <t>Corn Silage V.G.</t>
  </si>
  <si>
    <t>Corn Silage-Fair</t>
  </si>
  <si>
    <t>Corn Stalk Silage</t>
  </si>
  <si>
    <t>Corn Stover, Dry</t>
  </si>
  <si>
    <t>Sm. Grain -Early</t>
  </si>
  <si>
    <t>Ca Value =+D23</t>
  </si>
  <si>
    <t>Sm. Grain -Late</t>
  </si>
  <si>
    <t>P Value = +D24</t>
  </si>
  <si>
    <t>Straw</t>
  </si>
  <si>
    <t xml:space="preserve">Cannery Waste, Corn </t>
  </si>
  <si>
    <t>Oats &amp; Peas</t>
  </si>
  <si>
    <t>Milage(Millet &amp; Soy)</t>
  </si>
  <si>
    <t>Trical</t>
  </si>
  <si>
    <t>Sorghum-Sudan -Early</t>
  </si>
  <si>
    <t>Sorghum-Sudan -Late</t>
  </si>
  <si>
    <t>Value $</t>
  </si>
  <si>
    <t xml:space="preserve">      GRAIN-</t>
  </si>
  <si>
    <t xml:space="preserve"> / 100 lb</t>
  </si>
  <si>
    <t xml:space="preserve">  CONCENTRATES</t>
  </si>
  <si>
    <t xml:space="preserve"> As Fed</t>
  </si>
  <si>
    <t>Barley</t>
  </si>
  <si>
    <t>Beans, Navy</t>
  </si>
  <si>
    <t>Corn,Shelled 15% Moist</t>
  </si>
  <si>
    <t>Corn, H.M. Shelled</t>
  </si>
  <si>
    <t>Corn Cobs, Ground</t>
  </si>
  <si>
    <t>Ear Corn, 15% Moisture</t>
  </si>
  <si>
    <t xml:space="preserve">Ear Corn, High Moist. </t>
  </si>
  <si>
    <t>Canola Meal</t>
  </si>
  <si>
    <t>Fish Meal, 60% C.P.</t>
  </si>
  <si>
    <t>Hominy Feed</t>
  </si>
  <si>
    <t>Oats, Lightwt &lt;30 LB/Bu</t>
  </si>
  <si>
    <t>Oats, 32-36 Lb/Bu</t>
  </si>
  <si>
    <t>Oats, Over 36 Lb/Bu</t>
  </si>
  <si>
    <t>Soy Hulls</t>
  </si>
  <si>
    <t>Soybeans, Heat Treated</t>
  </si>
  <si>
    <t>Soybean Meal, 44% CP</t>
  </si>
  <si>
    <t>Soybean Meal, 48% CP</t>
  </si>
  <si>
    <t>Sunflower Meal 28% CP</t>
  </si>
  <si>
    <t>Sunflower Meal 40% CP</t>
  </si>
  <si>
    <t>Wheat, Grain</t>
  </si>
  <si>
    <t>Wheat Bran</t>
  </si>
  <si>
    <t xml:space="preserve">Wheat Middlings </t>
  </si>
  <si>
    <t>Whey, 7% Solids</t>
  </si>
  <si>
    <t>Milo</t>
  </si>
  <si>
    <t xml:space="preserve">NOTE: Enter actual feed analysis when possible to improve </t>
  </si>
  <si>
    <t>accuracy in predicting feed values.</t>
  </si>
  <si>
    <t/>
  </si>
  <si>
    <t>Value of Grain-Concentrate Ingredients</t>
  </si>
  <si>
    <t xml:space="preserve">  Value, $/Ton As Fed</t>
  </si>
  <si>
    <t>Triticale</t>
  </si>
  <si>
    <t>Ton</t>
  </si>
  <si>
    <t>DM</t>
  </si>
  <si>
    <t>As Fed</t>
  </si>
  <si>
    <t xml:space="preserve">Value </t>
  </si>
  <si>
    <t>Cost per Ton</t>
  </si>
  <si>
    <t>Kirk's COS</t>
  </si>
  <si>
    <t>First baleage</t>
  </si>
  <si>
    <t>Second baleage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</si>
</sst>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General_)"/>
    <numFmt numFmtId="166" formatCode="mm/dd/yy_)"/>
    <numFmt numFmtId="167" formatCode="0.00_)"/>
    <numFmt numFmtId="168" formatCode="0.0_)"/>
    <numFmt numFmtId="169" formatCode="mmm\-yy_)"/>
    <numFmt numFmtId="170" formatCode="&quot;$&quot;#,##0.000_);\(&quot;$&quot;#,##0.000\)"/>
    <numFmt numFmtId="171" formatCode="0.000_)"/>
    <numFmt numFmtId="172" formatCode="0_)"/>
    <numFmt numFmtId="173" formatCode="0.0000_)"/>
    <numFmt numFmtId="174" formatCode="&quot;$&quot;#,##0.000"/>
    <numFmt numFmtId="175" formatCode="&quot;$&quot;0.000"/>
    <numFmt numFmtId="176" formatCode="&quot;$&quot;.000"/>
    <numFmt numFmtId="177" formatCode="&quot;$&quot;#,##0.00"/>
    <numFmt numFmtId="178" formatCode="&quot;$&quot;#,##0.0_);\(&quot;$&quot;#,##0.0\)"/>
    <numFmt numFmtId="179" formatCode="&quot;$&quot;#,##0.0000"/>
    <numFmt numFmtId="180" formatCode="#,##0.000"/>
    <numFmt numFmtId="181" formatCode="_(* #,##0.0_);_(* \(#,##0.0\);_(* &quot;-&quot;??_);_(@_)"/>
    <numFmt numFmtId="182" formatCode="_(* #,##0_);_(* \(#,##0\);_(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[$$-C09]#,##0.00"/>
    <numFmt numFmtId="186" formatCode="[$$-C09]#,##0.0"/>
    <numFmt numFmtId="187" formatCode="[$$-C09]#,##0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10"/>
      <name val="Courier"/>
      <family val="0"/>
    </font>
    <font>
      <b/>
      <sz val="12"/>
      <name val="Times New Roman"/>
      <family val="1"/>
    </font>
    <font>
      <b/>
      <sz val="12"/>
      <name val="Courier"/>
      <family val="0"/>
    </font>
    <font>
      <b/>
      <sz val="12"/>
      <color indexed="12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164" fontId="0" fillId="0" borderId="0" xfId="0" applyAlignment="1">
      <alignment/>
    </xf>
    <xf numFmtId="165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/>
      <protection locked="0"/>
    </xf>
    <xf numFmtId="7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 horizontal="left"/>
      <protection locked="0"/>
    </xf>
    <xf numFmtId="7" fontId="6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 horizontal="right"/>
      <protection/>
    </xf>
    <xf numFmtId="171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 locked="0"/>
    </xf>
    <xf numFmtId="171" fontId="6" fillId="0" borderId="0" xfId="0" applyNumberFormat="1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/>
    </xf>
    <xf numFmtId="168" fontId="5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 locked="0"/>
    </xf>
    <xf numFmtId="5" fontId="6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5" xfId="0" applyNumberFormat="1" applyFont="1" applyBorder="1" applyAlignment="1" applyProtection="1">
      <alignment horizontal="left"/>
      <protection/>
    </xf>
    <xf numFmtId="164" fontId="5" fillId="0" borderId="1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5" fontId="7" fillId="0" borderId="0" xfId="0" applyNumberFormat="1" applyFont="1" applyAlignment="1" applyProtection="1">
      <alignment horizontal="left"/>
      <protection locked="0"/>
    </xf>
    <xf numFmtId="167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164" fontId="8" fillId="0" borderId="0" xfId="0" applyFont="1" applyAlignment="1">
      <alignment/>
    </xf>
    <xf numFmtId="164" fontId="5" fillId="0" borderId="4" xfId="0" applyNumberFormat="1" applyFont="1" applyBorder="1" applyAlignment="1" applyProtection="1">
      <alignment horizontal="left"/>
      <protection/>
    </xf>
    <xf numFmtId="164" fontId="5" fillId="0" borderId="2" xfId="0" applyNumberFormat="1" applyFont="1" applyBorder="1" applyAlignment="1" applyProtection="1">
      <alignment horizontal="left"/>
      <protection/>
    </xf>
    <xf numFmtId="165" fontId="7" fillId="0" borderId="2" xfId="0" applyNumberFormat="1" applyFont="1" applyBorder="1" applyAlignment="1" applyProtection="1">
      <alignment horizontal="left"/>
      <protection locked="0"/>
    </xf>
    <xf numFmtId="164" fontId="0" fillId="0" borderId="2" xfId="0" applyBorder="1" applyAlignment="1">
      <alignment/>
    </xf>
    <xf numFmtId="165" fontId="6" fillId="0" borderId="2" xfId="0" applyNumberFormat="1" applyFont="1" applyBorder="1" applyAlignment="1" applyProtection="1">
      <alignment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168" fontId="7" fillId="0" borderId="0" xfId="0" applyNumberFormat="1" applyFont="1" applyBorder="1" applyAlignment="1" applyProtection="1">
      <alignment/>
      <protection locked="0"/>
    </xf>
    <xf numFmtId="164" fontId="0" fillId="0" borderId="0" xfId="0" applyBorder="1" applyAlignment="1">
      <alignment/>
    </xf>
    <xf numFmtId="7" fontId="5" fillId="0" borderId="0" xfId="0" applyNumberFormat="1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5" fontId="5" fillId="0" borderId="2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/>
      <protection/>
    </xf>
    <xf numFmtId="165" fontId="5" fillId="0" borderId="7" xfId="0" applyNumberFormat="1" applyFont="1" applyBorder="1" applyAlignment="1" applyProtection="1">
      <alignment horizontal="left"/>
      <protection/>
    </xf>
    <xf numFmtId="165" fontId="5" fillId="0" borderId="7" xfId="0" applyNumberFormat="1" applyFont="1" applyBorder="1" applyAlignment="1" applyProtection="1">
      <alignment/>
      <protection/>
    </xf>
    <xf numFmtId="164" fontId="5" fillId="0" borderId="8" xfId="0" applyNumberFormat="1" applyFont="1" applyBorder="1" applyAlignment="1" applyProtection="1">
      <alignment horizontal="left"/>
      <protection/>
    </xf>
    <xf numFmtId="165" fontId="5" fillId="0" borderId="2" xfId="0" applyNumberFormat="1" applyFont="1" applyBorder="1" applyAlignment="1" applyProtection="1">
      <alignment/>
      <protection/>
    </xf>
    <xf numFmtId="165" fontId="5" fillId="0" borderId="3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/>
      <protection/>
    </xf>
    <xf numFmtId="165" fontId="6" fillId="0" borderId="7" xfId="0" applyNumberFormat="1" applyFont="1" applyBorder="1" applyAlignment="1" applyProtection="1">
      <alignment/>
      <protection locked="0"/>
    </xf>
    <xf numFmtId="164" fontId="5" fillId="0" borderId="9" xfId="0" applyNumberFormat="1" applyFont="1" applyBorder="1" applyAlignment="1" applyProtection="1" quotePrefix="1">
      <alignment horizontal="left"/>
      <protection/>
    </xf>
    <xf numFmtId="164" fontId="5" fillId="0" borderId="9" xfId="0" applyNumberFormat="1" applyFont="1" applyBorder="1" applyAlignment="1" applyProtection="1" quotePrefix="1">
      <alignment horizontal="center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 horizontal="center"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5" fillId="0" borderId="7" xfId="0" applyNumberFormat="1" applyFont="1" applyBorder="1" applyAlignment="1" applyProtection="1">
      <alignment/>
      <protection/>
    </xf>
    <xf numFmtId="5" fontId="5" fillId="0" borderId="7" xfId="0" applyNumberFormat="1" applyFont="1" applyBorder="1" applyAlignment="1" applyProtection="1">
      <alignment/>
      <protection/>
    </xf>
    <xf numFmtId="5" fontId="5" fillId="0" borderId="8" xfId="0" applyNumberFormat="1" applyFont="1" applyBorder="1" applyAlignment="1" applyProtection="1">
      <alignment/>
      <protection/>
    </xf>
    <xf numFmtId="164" fontId="5" fillId="0" borderId="9" xfId="0" applyFont="1" applyBorder="1" applyAlignment="1">
      <alignment/>
    </xf>
    <xf numFmtId="7" fontId="5" fillId="0" borderId="10" xfId="0" applyNumberFormat="1" applyFont="1" applyBorder="1" applyAlignment="1" applyProtection="1">
      <alignment/>
      <protection/>
    </xf>
    <xf numFmtId="5" fontId="5" fillId="0" borderId="10" xfId="0" applyNumberFormat="1" applyFont="1" applyBorder="1" applyAlignment="1" applyProtection="1">
      <alignment/>
      <protection/>
    </xf>
    <xf numFmtId="5" fontId="5" fillId="0" borderId="11" xfId="0" applyNumberFormat="1" applyFont="1" applyBorder="1" applyAlignment="1" applyProtection="1">
      <alignment/>
      <protection/>
    </xf>
    <xf numFmtId="174" fontId="9" fillId="0" borderId="0" xfId="0" applyNumberFormat="1" applyFont="1" applyBorder="1" applyAlignment="1" applyProtection="1">
      <alignment/>
      <protection/>
    </xf>
    <xf numFmtId="174" fontId="9" fillId="0" borderId="7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176" fontId="9" fillId="0" borderId="7" xfId="0" applyNumberFormat="1" applyFont="1" applyBorder="1" applyAlignment="1" applyProtection="1">
      <alignment/>
      <protection/>
    </xf>
    <xf numFmtId="165" fontId="9" fillId="0" borderId="2" xfId="0" applyNumberFormat="1" applyFont="1" applyBorder="1" applyAlignment="1" applyProtection="1">
      <alignment horizontal="left"/>
      <protection/>
    </xf>
    <xf numFmtId="165" fontId="9" fillId="0" borderId="2" xfId="0" applyNumberFormat="1" applyFont="1" applyBorder="1" applyAlignment="1" applyProtection="1">
      <alignment/>
      <protection/>
    </xf>
    <xf numFmtId="164" fontId="0" fillId="0" borderId="0" xfId="0" applyAlignment="1">
      <alignment horizontal="left"/>
    </xf>
    <xf numFmtId="2" fontId="5" fillId="0" borderId="2" xfId="0" applyNumberFormat="1" applyFont="1" applyBorder="1" applyAlignment="1">
      <alignment/>
    </xf>
    <xf numFmtId="177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65" fontId="9" fillId="0" borderId="10" xfId="0" applyNumberFormat="1" applyFont="1" applyBorder="1" applyAlignment="1" applyProtection="1">
      <alignment horizontal="center"/>
      <protection/>
    </xf>
    <xf numFmtId="164" fontId="10" fillId="0" borderId="11" xfId="0" applyNumberFormat="1" applyFont="1" applyBorder="1" applyAlignment="1" applyProtection="1">
      <alignment horizontal="center"/>
      <protection/>
    </xf>
    <xf numFmtId="164" fontId="5" fillId="0" borderId="11" xfId="0" applyFont="1" applyBorder="1" applyAlignment="1">
      <alignment/>
    </xf>
    <xf numFmtId="164" fontId="5" fillId="0" borderId="10" xfId="0" applyFont="1" applyBorder="1" applyAlignment="1">
      <alignment horizontal="center"/>
    </xf>
    <xf numFmtId="1" fontId="8" fillId="0" borderId="0" xfId="0" applyNumberFormat="1" applyFont="1" applyAlignment="1">
      <alignment/>
    </xf>
    <xf numFmtId="164" fontId="5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5" xfId="0" applyBorder="1" applyAlignment="1">
      <alignment/>
    </xf>
    <xf numFmtId="164" fontId="5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5" fontId="11" fillId="0" borderId="2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>
      <alignment horizontal="left"/>
    </xf>
    <xf numFmtId="164" fontId="12" fillId="0" borderId="0" xfId="0" applyFont="1" applyAlignment="1">
      <alignment/>
    </xf>
    <xf numFmtId="165" fontId="7" fillId="0" borderId="0" xfId="0" applyNumberFormat="1" applyFont="1" applyAlignment="1" applyProtection="1">
      <alignment/>
      <protection locked="0"/>
    </xf>
    <xf numFmtId="164" fontId="8" fillId="0" borderId="0" xfId="0" applyFont="1" applyAlignment="1">
      <alignment/>
    </xf>
    <xf numFmtId="164" fontId="13" fillId="0" borderId="0" xfId="0" applyFont="1" applyAlignment="1">
      <alignment horizontal="left"/>
    </xf>
    <xf numFmtId="165" fontId="13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/>
    </xf>
    <xf numFmtId="165" fontId="13" fillId="0" borderId="0" xfId="0" applyNumberFormat="1" applyFont="1" applyAlignment="1" applyProtection="1">
      <alignment horizontal="center"/>
      <protection/>
    </xf>
    <xf numFmtId="165" fontId="13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 locked="0"/>
    </xf>
    <xf numFmtId="164" fontId="13" fillId="0" borderId="0" xfId="0" applyFont="1" applyAlignment="1">
      <alignment/>
    </xf>
    <xf numFmtId="164" fontId="14" fillId="0" borderId="0" xfId="0" applyFont="1" applyAlignment="1">
      <alignment horizontal="left"/>
    </xf>
    <xf numFmtId="165" fontId="7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"/>
      <protection/>
    </xf>
    <xf numFmtId="164" fontId="5" fillId="0" borderId="13" xfId="0" applyFont="1" applyBorder="1" applyAlignment="1">
      <alignment/>
    </xf>
    <xf numFmtId="164" fontId="5" fillId="0" borderId="13" xfId="0" applyFont="1" applyBorder="1" applyAlignment="1">
      <alignment horizontal="left"/>
    </xf>
    <xf numFmtId="164" fontId="8" fillId="0" borderId="13" xfId="0" applyFont="1" applyBorder="1" applyAlignment="1">
      <alignment horizontal="left"/>
    </xf>
    <xf numFmtId="164" fontId="12" fillId="0" borderId="13" xfId="0" applyFont="1" applyBorder="1" applyAlignment="1">
      <alignment horizontal="left"/>
    </xf>
    <xf numFmtId="164" fontId="12" fillId="0" borderId="13" xfId="0" applyFont="1" applyBorder="1" applyAlignment="1">
      <alignment/>
    </xf>
    <xf numFmtId="164" fontId="8" fillId="0" borderId="13" xfId="0" applyNumberFormat="1" applyFont="1" applyBorder="1" applyAlignment="1" applyProtection="1">
      <alignment horizontal="center"/>
      <protection/>
    </xf>
    <xf numFmtId="164" fontId="8" fillId="0" borderId="13" xfId="0" applyFont="1" applyBorder="1" applyAlignment="1">
      <alignment/>
    </xf>
    <xf numFmtId="44" fontId="5" fillId="0" borderId="0" xfId="17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43" fontId="5" fillId="0" borderId="0" xfId="15" applyFont="1" applyAlignment="1">
      <alignment/>
    </xf>
    <xf numFmtId="43" fontId="7" fillId="0" borderId="0" xfId="15" applyFont="1" applyAlignment="1" applyProtection="1">
      <alignment/>
      <protection locked="0"/>
    </xf>
    <xf numFmtId="182" fontId="7" fillId="0" borderId="0" xfId="15" applyNumberFormat="1" applyFont="1" applyAlignment="1" applyProtection="1">
      <alignment/>
      <protection locked="0"/>
    </xf>
    <xf numFmtId="187" fontId="5" fillId="0" borderId="0" xfId="15" applyNumberFormat="1" applyFont="1" applyAlignment="1" applyProtection="1">
      <alignment/>
      <protection/>
    </xf>
    <xf numFmtId="184" fontId="7" fillId="0" borderId="0" xfId="17" applyNumberFormat="1" applyFont="1" applyAlignment="1" applyProtection="1">
      <alignment horizontal="left"/>
      <protection locked="0"/>
    </xf>
    <xf numFmtId="184" fontId="7" fillId="0" borderId="0" xfId="17" applyNumberFormat="1" applyFont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horizontal="left"/>
      <protection/>
    </xf>
    <xf numFmtId="44" fontId="7" fillId="0" borderId="0" xfId="17" applyFont="1" applyBorder="1" applyAlignment="1" applyProtection="1">
      <alignment horizontal="left"/>
      <protection locked="0"/>
    </xf>
    <xf numFmtId="44" fontId="7" fillId="0" borderId="7" xfId="17" applyFont="1" applyBorder="1" applyAlignment="1" applyProtection="1">
      <alignment horizontal="left"/>
      <protection locked="0"/>
    </xf>
    <xf numFmtId="43" fontId="7" fillId="0" borderId="0" xfId="15" applyFont="1" applyBorder="1" applyAlignment="1" applyProtection="1">
      <alignment horizontal="left"/>
      <protection locked="0"/>
    </xf>
    <xf numFmtId="182" fontId="7" fillId="0" borderId="0" xfId="15" applyNumberFormat="1" applyFont="1" applyBorder="1" applyAlignment="1" applyProtection="1">
      <alignment horizontal="left"/>
      <protection locked="0"/>
    </xf>
    <xf numFmtId="165" fontId="5" fillId="0" borderId="4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left"/>
    </xf>
    <xf numFmtId="43" fontId="5" fillId="0" borderId="0" xfId="15" applyFont="1" applyBorder="1" applyAlignment="1">
      <alignment horizontal="left"/>
    </xf>
    <xf numFmtId="165" fontId="7" fillId="0" borderId="0" xfId="0" applyNumberFormat="1" applyFont="1" applyBorder="1" applyAlignment="1" applyProtection="1">
      <alignment horizontal="right"/>
      <protection locked="0"/>
    </xf>
    <xf numFmtId="43" fontId="7" fillId="0" borderId="0" xfId="15" applyFont="1" applyAlignment="1" applyProtection="1">
      <alignment horizontal="left"/>
      <protection locked="0"/>
    </xf>
    <xf numFmtId="166" fontId="6" fillId="0" borderId="14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>
      <alignment horizontal="center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73"/>
  <sheetViews>
    <sheetView showGridLines="0" workbookViewId="0" topLeftCell="B26">
      <pane ySplit="1308" topLeftCell="BM40" activePane="bottomLeft" state="split"/>
      <selection pane="topLeft" activeCell="F12" sqref="F12"/>
      <selection pane="bottomLeft" activeCell="I62" sqref="I62:J64"/>
    </sheetView>
  </sheetViews>
  <sheetFormatPr defaultColWidth="9.625" defaultRowHeight="12.75"/>
  <cols>
    <col min="1" max="1" width="2.875" style="2" customWidth="1"/>
    <col min="2" max="2" width="10.125" style="2" customWidth="1"/>
    <col min="3" max="3" width="8.125" style="2" customWidth="1"/>
    <col min="4" max="14" width="7.50390625" style="2" customWidth="1"/>
    <col min="15" max="15" width="4.625" style="2" customWidth="1"/>
    <col min="16" max="16" width="10.625" style="2" customWidth="1"/>
    <col min="17" max="17" width="13.625" style="2" customWidth="1"/>
    <col min="18" max="26" width="10.625" style="2" customWidth="1"/>
    <col min="27" max="27" width="1.625" style="2" customWidth="1"/>
    <col min="28" max="28" width="10.625" style="2" customWidth="1"/>
    <col min="29" max="29" width="13.625" style="2" customWidth="1"/>
    <col min="30" max="30" width="6.625" style="2" customWidth="1"/>
    <col min="31" max="31" width="7.625" style="2" customWidth="1"/>
    <col min="32" max="32" width="6.625" style="2" customWidth="1"/>
    <col min="33" max="33" width="7.625" style="2" customWidth="1"/>
    <col min="34" max="34" width="6.625" style="2" customWidth="1"/>
    <col min="35" max="35" width="7.625" style="2" customWidth="1"/>
    <col min="36" max="36" width="6.625" style="2" customWidth="1"/>
    <col min="37" max="37" width="1.625" style="2" customWidth="1"/>
    <col min="38" max="16384" width="10.625" style="2" customWidth="1"/>
  </cols>
  <sheetData>
    <row r="1" spans="1:15" ht="14.25" customHeight="1">
      <c r="A1"/>
      <c r="B1" s="110"/>
      <c r="C1" s="111"/>
      <c r="D1" s="111"/>
      <c r="E1" s="112"/>
      <c r="F1" s="111"/>
      <c r="G1" s="113" t="s">
        <v>0</v>
      </c>
      <c r="H1" s="111"/>
      <c r="I1" s="114"/>
      <c r="J1" s="114"/>
      <c r="K1" s="114"/>
      <c r="L1" s="114"/>
      <c r="M1" s="115"/>
      <c r="N1" s="115"/>
      <c r="O1" s="116"/>
    </row>
    <row r="2" spans="2:15" ht="14.25" customHeight="1">
      <c r="B2" s="117"/>
      <c r="C2" s="111"/>
      <c r="D2" s="111"/>
      <c r="E2" s="112"/>
      <c r="F2" s="111"/>
      <c r="G2" s="113" t="s">
        <v>1</v>
      </c>
      <c r="H2" s="111"/>
      <c r="I2" s="114"/>
      <c r="J2" s="114"/>
      <c r="K2" s="114"/>
      <c r="L2" s="114"/>
      <c r="M2" s="115"/>
      <c r="N2" s="116"/>
      <c r="O2" s="116"/>
    </row>
    <row r="3" spans="2:20" ht="14.25" customHeight="1">
      <c r="B3" s="91"/>
      <c r="C3" s="106"/>
      <c r="D3" s="118"/>
      <c r="E3" s="107"/>
      <c r="F3" s="118"/>
      <c r="G3" s="119" t="s">
        <v>2</v>
      </c>
      <c r="H3" s="118"/>
      <c r="I3" s="108"/>
      <c r="J3" s="108"/>
      <c r="K3" s="108"/>
      <c r="L3" s="108"/>
      <c r="M3" s="108"/>
      <c r="N3" s="108"/>
      <c r="O3" s="109" t="s">
        <v>3</v>
      </c>
      <c r="T3" s="5" t="s">
        <v>4</v>
      </c>
    </row>
    <row r="4" spans="1:16" ht="14.25" customHeight="1" thickBot="1">
      <c r="A4" s="120"/>
      <c r="B4" s="121"/>
      <c r="C4" s="122"/>
      <c r="D4" s="123"/>
      <c r="E4" s="124"/>
      <c r="F4" s="122"/>
      <c r="G4" s="125" t="s">
        <v>5</v>
      </c>
      <c r="H4" s="122"/>
      <c r="I4" s="126"/>
      <c r="J4" s="126"/>
      <c r="K4" s="126"/>
      <c r="L4" s="126"/>
      <c r="M4" s="126"/>
      <c r="N4" s="126"/>
      <c r="O4" s="126"/>
      <c r="P4" s="120"/>
    </row>
    <row r="5" spans="2:21" ht="16.5" customHeight="1" thickTop="1">
      <c r="B5" s="14" t="s">
        <v>6</v>
      </c>
      <c r="C5" s="149">
        <f ca="1">NOW()</f>
        <v>39101.728635300926</v>
      </c>
      <c r="D5" s="149"/>
      <c r="T5" s="5" t="s">
        <v>7</v>
      </c>
      <c r="U5" s="5" t="s">
        <v>8</v>
      </c>
    </row>
    <row r="6" ht="12" customHeight="1"/>
    <row r="7" spans="2:21" ht="12" customHeight="1">
      <c r="B7" s="1" t="s">
        <v>9</v>
      </c>
      <c r="T7" s="5" t="s">
        <v>10</v>
      </c>
      <c r="U7" s="5" t="s">
        <v>11</v>
      </c>
    </row>
    <row r="8" spans="1:12" ht="12" customHeight="1">
      <c r="A8" s="26"/>
      <c r="B8" s="28"/>
      <c r="C8" s="27"/>
      <c r="D8" s="27"/>
      <c r="E8" s="38"/>
      <c r="F8" s="100"/>
      <c r="G8" s="101"/>
      <c r="H8" s="27"/>
      <c r="I8" s="27"/>
      <c r="J8" s="26"/>
      <c r="K8" s="27"/>
      <c r="L8" s="28"/>
    </row>
    <row r="9" spans="1:21" ht="12" customHeight="1">
      <c r="A9" s="29"/>
      <c r="B9" s="37" t="s">
        <v>12</v>
      </c>
      <c r="C9" s="31" t="s">
        <v>13</v>
      </c>
      <c r="D9" s="30"/>
      <c r="E9" s="44" t="s">
        <v>14</v>
      </c>
      <c r="F9" s="31"/>
      <c r="G9" s="102"/>
      <c r="H9" s="30" t="s">
        <v>15</v>
      </c>
      <c r="I9" s="32"/>
      <c r="J9" s="44" t="s">
        <v>16</v>
      </c>
      <c r="K9" s="32"/>
      <c r="L9" s="33"/>
      <c r="T9" s="5" t="s">
        <v>17</v>
      </c>
      <c r="U9" s="5" t="s">
        <v>18</v>
      </c>
    </row>
    <row r="10" spans="1:12" ht="12" customHeight="1">
      <c r="A10" s="34"/>
      <c r="B10" s="36"/>
      <c r="C10" s="35"/>
      <c r="D10" s="35"/>
      <c r="E10" s="39"/>
      <c r="F10" s="103"/>
      <c r="G10" s="104"/>
      <c r="H10" s="35"/>
      <c r="I10" s="35"/>
      <c r="J10" s="34"/>
      <c r="K10" s="35"/>
      <c r="L10" s="36"/>
    </row>
    <row r="11" spans="1:21" ht="12" customHeight="1">
      <c r="A11" s="26"/>
      <c r="B11" s="45" t="s">
        <v>19</v>
      </c>
      <c r="C11" s="46" t="s">
        <v>20</v>
      </c>
      <c r="D11" s="27"/>
      <c r="E11" s="46" t="s">
        <v>21</v>
      </c>
      <c r="F11" s="27"/>
      <c r="G11" s="47"/>
      <c r="H11" s="105" t="s">
        <v>22</v>
      </c>
      <c r="I11" s="48"/>
      <c r="J11" s="105" t="s">
        <v>23</v>
      </c>
      <c r="K11" s="27"/>
      <c r="L11" s="28"/>
      <c r="T11" s="5" t="s">
        <v>24</v>
      </c>
      <c r="U11" s="5" t="s">
        <v>25</v>
      </c>
    </row>
    <row r="12" spans="1:12" ht="12" customHeight="1">
      <c r="A12" s="29"/>
      <c r="B12" s="30" t="s">
        <v>26</v>
      </c>
      <c r="C12" s="49">
        <v>4</v>
      </c>
      <c r="D12" s="30" t="s">
        <v>27</v>
      </c>
      <c r="E12" s="50">
        <v>210</v>
      </c>
      <c r="F12" s="30" t="s">
        <v>28</v>
      </c>
      <c r="G12" s="51"/>
      <c r="H12" s="49">
        <v>5</v>
      </c>
      <c r="I12" s="30" t="s">
        <v>29</v>
      </c>
      <c r="J12" s="49">
        <v>18</v>
      </c>
      <c r="K12" s="30" t="s">
        <v>29</v>
      </c>
      <c r="L12" s="33"/>
    </row>
    <row r="13" spans="1:21" ht="12" customHeight="1">
      <c r="A13" s="29"/>
      <c r="B13" s="30" t="s">
        <v>30</v>
      </c>
      <c r="C13" s="127">
        <f>C12/0.56</f>
        <v>7.142857142857142</v>
      </c>
      <c r="D13" s="30" t="s">
        <v>29</v>
      </c>
      <c r="E13" s="127">
        <f>E12/20</f>
        <v>10.5</v>
      </c>
      <c r="F13" s="30" t="s">
        <v>29</v>
      </c>
      <c r="G13" s="51"/>
      <c r="H13" s="53"/>
      <c r="I13" s="32"/>
      <c r="J13" s="53"/>
      <c r="K13" s="32"/>
      <c r="L13" s="33"/>
      <c r="T13" s="5" t="s">
        <v>31</v>
      </c>
      <c r="U13" s="5" t="s">
        <v>32</v>
      </c>
    </row>
    <row r="14" spans="1:12" ht="12" customHeight="1">
      <c r="A14" s="29"/>
      <c r="B14" s="30" t="s">
        <v>33</v>
      </c>
      <c r="C14" s="50">
        <v>85</v>
      </c>
      <c r="D14" s="32"/>
      <c r="E14" s="50">
        <v>89</v>
      </c>
      <c r="F14" s="32"/>
      <c r="G14" s="51"/>
      <c r="H14" s="50">
        <v>98</v>
      </c>
      <c r="I14" s="32"/>
      <c r="J14" s="50">
        <v>98</v>
      </c>
      <c r="K14" s="32"/>
      <c r="L14" s="33"/>
    </row>
    <row r="15" spans="1:21" ht="12" customHeight="1">
      <c r="A15" s="29"/>
      <c r="B15" s="30" t="s">
        <v>34</v>
      </c>
      <c r="C15" s="50">
        <v>10</v>
      </c>
      <c r="D15" s="32"/>
      <c r="E15" s="50">
        <f>48/0.89</f>
        <v>53.93258426966292</v>
      </c>
      <c r="F15" s="32"/>
      <c r="G15" s="51"/>
      <c r="H15" s="53"/>
      <c r="I15" s="32"/>
      <c r="J15" s="53"/>
      <c r="K15" s="32"/>
      <c r="L15" s="33"/>
      <c r="T15" s="5" t="s">
        <v>35</v>
      </c>
      <c r="U15" s="5" t="s">
        <v>36</v>
      </c>
    </row>
    <row r="16" spans="1:12" ht="12" customHeight="1">
      <c r="A16" s="29"/>
      <c r="B16" s="30" t="s">
        <v>37</v>
      </c>
      <c r="C16" s="50">
        <v>88</v>
      </c>
      <c r="D16" s="32"/>
      <c r="E16" s="50">
        <v>87</v>
      </c>
      <c r="F16" s="32"/>
      <c r="G16" s="51"/>
      <c r="H16" s="53"/>
      <c r="I16" s="32"/>
      <c r="J16" s="53"/>
      <c r="K16" s="32"/>
      <c r="L16" s="33"/>
    </row>
    <row r="17" spans="1:21" ht="12" customHeight="1">
      <c r="A17" s="29"/>
      <c r="B17" s="30" t="s">
        <v>38</v>
      </c>
      <c r="C17" s="49">
        <v>0.02</v>
      </c>
      <c r="D17" s="32"/>
      <c r="E17" s="49">
        <f>0.25/0.89</f>
        <v>0.2808988764044944</v>
      </c>
      <c r="F17" s="32"/>
      <c r="G17" s="51"/>
      <c r="H17" s="49">
        <v>36</v>
      </c>
      <c r="I17" s="32"/>
      <c r="J17" s="49">
        <v>18</v>
      </c>
      <c r="K17" s="32"/>
      <c r="L17" s="33"/>
      <c r="T17" s="11" t="s">
        <v>39</v>
      </c>
      <c r="U17" s="11" t="s">
        <v>40</v>
      </c>
    </row>
    <row r="18" spans="1:12" ht="12" customHeight="1">
      <c r="A18" s="29"/>
      <c r="B18" s="30" t="s">
        <v>41</v>
      </c>
      <c r="C18" s="49">
        <v>0.3</v>
      </c>
      <c r="D18" s="32"/>
      <c r="E18" s="49">
        <f>0.6/0.89</f>
        <v>0.6741573033707865</v>
      </c>
      <c r="F18" s="32"/>
      <c r="G18" s="51"/>
      <c r="H18" s="32"/>
      <c r="I18" s="32"/>
      <c r="J18" s="49">
        <v>21</v>
      </c>
      <c r="K18" s="32"/>
      <c r="L18" s="33"/>
    </row>
    <row r="19" spans="1:12" ht="12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ht="6" customHeight="1">
      <c r="C20" s="10"/>
    </row>
    <row r="21" spans="2:13" ht="5.25" customHeight="1">
      <c r="B21" s="1"/>
      <c r="C21" s="3"/>
      <c r="D21" s="4"/>
      <c r="G21" s="4"/>
      <c r="H21" s="7" t="s">
        <v>42</v>
      </c>
      <c r="I21" s="4"/>
      <c r="J21" s="4"/>
      <c r="K21" s="7"/>
      <c r="L21" s="4"/>
      <c r="M21" s="4"/>
    </row>
    <row r="22" spans="1:13" ht="12" customHeight="1">
      <c r="A22" s="26"/>
      <c r="B22" s="54" t="s">
        <v>43</v>
      </c>
      <c r="C22" s="27"/>
      <c r="D22" s="27"/>
      <c r="E22" s="27"/>
      <c r="F22" s="27"/>
      <c r="G22" s="27"/>
      <c r="H22" s="27"/>
      <c r="I22" s="28"/>
      <c r="M22" s="12" t="s">
        <v>42</v>
      </c>
    </row>
    <row r="23" spans="1:13" ht="12" customHeight="1">
      <c r="A23" s="29"/>
      <c r="B23" s="55" t="s">
        <v>44</v>
      </c>
      <c r="C23" s="56"/>
      <c r="D23" s="85">
        <f>$H$12/$H$17/($H$14*0.01)</f>
        <v>0.1417233560090703</v>
      </c>
      <c r="E23" s="55" t="s">
        <v>45</v>
      </c>
      <c r="F23" s="56"/>
      <c r="G23" s="32"/>
      <c r="H23" s="87">
        <f>$P$46</f>
        <v>0.13547460175094747</v>
      </c>
      <c r="I23" s="37"/>
      <c r="J23" s="13"/>
      <c r="K23" s="4"/>
      <c r="L23" s="4"/>
      <c r="M23" s="4"/>
    </row>
    <row r="24" spans="1:18" ht="12" customHeight="1">
      <c r="A24" s="34"/>
      <c r="B24" s="57" t="s">
        <v>46</v>
      </c>
      <c r="C24" s="58"/>
      <c r="D24" s="86">
        <f>($J$12-($J$17*$D$23*$J$14*0.01))/($J$18*($J$14*0.01))</f>
        <v>0.7531584062196308</v>
      </c>
      <c r="E24" s="57" t="s">
        <v>47</v>
      </c>
      <c r="F24" s="58"/>
      <c r="G24" s="35"/>
      <c r="H24" s="88">
        <f>$P$47</f>
        <v>0.0847184265595313</v>
      </c>
      <c r="I24" s="59"/>
      <c r="J24" s="13"/>
      <c r="K24" s="4"/>
      <c r="L24" s="4"/>
      <c r="M24" s="4"/>
      <c r="P24" s="1" t="s">
        <v>48</v>
      </c>
      <c r="Q24" s="3"/>
      <c r="R24" s="3"/>
    </row>
    <row r="25" spans="11:18" ht="9.75" customHeight="1">
      <c r="K25" s="129">
        <f>E33*H23</f>
        <v>2.9804412385208443</v>
      </c>
      <c r="M25" s="4"/>
      <c r="P25" s="1" t="s">
        <v>49</v>
      </c>
      <c r="Q25" s="3"/>
      <c r="R25" s="3"/>
    </row>
    <row r="26" spans="7:18" ht="9.75" customHeight="1">
      <c r="G26" s="13"/>
      <c r="H26" s="4"/>
      <c r="I26" s="4"/>
      <c r="J26" s="4"/>
      <c r="K26" s="4"/>
      <c r="L26" s="4"/>
      <c r="M26" s="4"/>
      <c r="P26" s="5" t="s">
        <v>50</v>
      </c>
      <c r="R26" s="3"/>
    </row>
    <row r="27" spans="16:21" ht="9.75" customHeight="1">
      <c r="P27" s="5" t="s">
        <v>51</v>
      </c>
      <c r="R27" s="5" t="s">
        <v>52</v>
      </c>
      <c r="S27" s="15"/>
      <c r="T27" s="15"/>
      <c r="U27" s="15"/>
    </row>
    <row r="28" spans="1:28" ht="12" customHeight="1">
      <c r="A28" s="26"/>
      <c r="B28" s="27"/>
      <c r="C28" s="27"/>
      <c r="D28" s="65"/>
      <c r="E28" s="66"/>
      <c r="F28" s="66"/>
      <c r="G28" s="66"/>
      <c r="H28" s="66"/>
      <c r="I28" s="66"/>
      <c r="J28" s="66"/>
      <c r="K28" s="69" t="s">
        <v>53</v>
      </c>
      <c r="L28" s="89" t="s">
        <v>54</v>
      </c>
      <c r="M28" s="90"/>
      <c r="N28" s="61"/>
      <c r="O28" s="81"/>
      <c r="S28" s="16">
        <v>1</v>
      </c>
      <c r="T28" s="16">
        <v>2</v>
      </c>
      <c r="U28" s="16">
        <v>3</v>
      </c>
      <c r="V28" s="16">
        <v>4</v>
      </c>
      <c r="W28" s="16">
        <v>5</v>
      </c>
      <c r="X28" s="16">
        <v>6</v>
      </c>
      <c r="Y28" s="16">
        <v>7</v>
      </c>
      <c r="Z28" s="16">
        <v>8</v>
      </c>
      <c r="AB28" s="16">
        <v>9</v>
      </c>
    </row>
    <row r="29" spans="1:28" ht="12" customHeight="1">
      <c r="A29" s="29"/>
      <c r="B29" s="62"/>
      <c r="C29" s="62"/>
      <c r="D29" s="67" t="s">
        <v>55</v>
      </c>
      <c r="E29" s="67" t="s">
        <v>56</v>
      </c>
      <c r="F29" s="31" t="s">
        <v>57</v>
      </c>
      <c r="G29" s="67" t="s">
        <v>58</v>
      </c>
      <c r="H29" s="67" t="s">
        <v>59</v>
      </c>
      <c r="I29" s="67" t="s">
        <v>60</v>
      </c>
      <c r="J29" s="67" t="s">
        <v>61</v>
      </c>
      <c r="K29" s="70" t="s">
        <v>62</v>
      </c>
      <c r="L29" s="55" t="s">
        <v>63</v>
      </c>
      <c r="M29" s="56"/>
      <c r="N29" s="63"/>
      <c r="O29" s="98" t="s">
        <v>3</v>
      </c>
      <c r="P29" s="17">
        <f>$E$13/($E$14*0.01)</f>
        <v>11.797752808988763</v>
      </c>
      <c r="Q29" s="6" t="s">
        <v>64</v>
      </c>
      <c r="R29" s="6" t="s">
        <v>65</v>
      </c>
      <c r="S29" s="15">
        <f>$P$29*0.8</f>
        <v>9.438202247191011</v>
      </c>
      <c r="T29" s="15">
        <f>$P$29*0.8</f>
        <v>9.438202247191011</v>
      </c>
      <c r="U29" s="15">
        <f>$P$29*0.8</f>
        <v>9.438202247191011</v>
      </c>
      <c r="V29" s="15">
        <f>$P$29</f>
        <v>11.797752808988763</v>
      </c>
      <c r="W29" s="15">
        <f>$P$29</f>
        <v>11.797752808988763</v>
      </c>
      <c r="X29" s="15">
        <f>$P$29</f>
        <v>11.797752808988763</v>
      </c>
      <c r="Y29" s="15">
        <f>$P$29*1.2</f>
        <v>14.157303370786515</v>
      </c>
      <c r="Z29" s="15">
        <f>$P$29*1.2</f>
        <v>14.157303370786515</v>
      </c>
      <c r="AB29" s="15">
        <f>$P$29*1.2</f>
        <v>14.157303370786515</v>
      </c>
    </row>
    <row r="30" spans="1:28" ht="12" customHeight="1">
      <c r="A30" s="34"/>
      <c r="B30" s="57" t="s">
        <v>66</v>
      </c>
      <c r="C30" s="64"/>
      <c r="D30" s="68" t="s">
        <v>67</v>
      </c>
      <c r="E30" s="68" t="s">
        <v>67</v>
      </c>
      <c r="F30" s="68" t="s">
        <v>67</v>
      </c>
      <c r="G30" s="68" t="s">
        <v>67</v>
      </c>
      <c r="H30" s="68" t="s">
        <v>67</v>
      </c>
      <c r="I30" s="68" t="s">
        <v>67</v>
      </c>
      <c r="J30" s="68" t="s">
        <v>67</v>
      </c>
      <c r="K30" s="68" t="s">
        <v>68</v>
      </c>
      <c r="L30" s="71">
        <v>0</v>
      </c>
      <c r="M30" s="71">
        <v>5</v>
      </c>
      <c r="N30" s="71">
        <v>10</v>
      </c>
      <c r="O30" s="97"/>
      <c r="P30" s="17">
        <f>$C$13/0.85</f>
        <v>8.403361344537815</v>
      </c>
      <c r="Q30" s="5" t="s">
        <v>69</v>
      </c>
      <c r="R30" s="6" t="s">
        <v>70</v>
      </c>
      <c r="S30" s="15">
        <f>$P$30*0.8</f>
        <v>6.722689075630253</v>
      </c>
      <c r="T30" s="15">
        <f>$P$30</f>
        <v>8.403361344537815</v>
      </c>
      <c r="U30" s="15">
        <f>$P$30*1.2</f>
        <v>10.084033613445378</v>
      </c>
      <c r="V30" s="15">
        <f>$P$30*0.8</f>
        <v>6.722689075630253</v>
      </c>
      <c r="W30" s="15">
        <f>$P$30</f>
        <v>8.403361344537815</v>
      </c>
      <c r="X30" s="15">
        <f>$P$30*1.2</f>
        <v>10.084033613445378</v>
      </c>
      <c r="Y30" s="15">
        <f>$P$30*0.8</f>
        <v>6.722689075630253</v>
      </c>
      <c r="Z30" s="15">
        <f>$P$30</f>
        <v>8.403361344537815</v>
      </c>
      <c r="AA30" s="15">
        <f>$P$30*1.2</f>
        <v>10.084033613445378</v>
      </c>
      <c r="AB30" s="15">
        <f>$P$30*1.2</f>
        <v>10.084033613445378</v>
      </c>
    </row>
    <row r="31" spans="3:28" ht="12" customHeight="1">
      <c r="C31"/>
      <c r="E31" s="1" t="s">
        <v>71</v>
      </c>
      <c r="Q31" s="15"/>
      <c r="R31" s="6" t="s">
        <v>72</v>
      </c>
      <c r="S31" s="15">
        <f>S30*0.56*($C$14*0.01)</f>
        <v>3.2000000000000006</v>
      </c>
      <c r="T31" s="15">
        <f aca="true" t="shared" si="0" ref="T31:Z31">T30*0.56*0.85</f>
        <v>4.000000000000001</v>
      </c>
      <c r="U31" s="15">
        <f t="shared" si="0"/>
        <v>4.8</v>
      </c>
      <c r="V31" s="15">
        <f t="shared" si="0"/>
        <v>3.2000000000000006</v>
      </c>
      <c r="W31" s="15">
        <f t="shared" si="0"/>
        <v>4.000000000000001</v>
      </c>
      <c r="X31" s="15">
        <f t="shared" si="0"/>
        <v>4.8</v>
      </c>
      <c r="Y31" s="15">
        <f t="shared" si="0"/>
        <v>3.2000000000000006</v>
      </c>
      <c r="Z31" s="15">
        <f t="shared" si="0"/>
        <v>4.000000000000001</v>
      </c>
      <c r="AB31" s="15">
        <f>AB30*0.56*0.85</f>
        <v>4.8</v>
      </c>
    </row>
    <row r="32" spans="4:28" ht="9.75" customHeight="1">
      <c r="D32" s="1"/>
      <c r="E32" s="3"/>
      <c r="F32" s="3"/>
      <c r="G32" s="3"/>
      <c r="H32" s="3"/>
      <c r="I32" s="3"/>
      <c r="J32" s="3"/>
      <c r="P32" s="17">
        <f>$P$29-($E$17*$D$23+$E$18*$D$24)</f>
        <v>11.250195637377475</v>
      </c>
      <c r="Q32" s="15">
        <f>$E$13</f>
        <v>10.5</v>
      </c>
      <c r="R32" s="15">
        <f>Q32*20</f>
        <v>210</v>
      </c>
      <c r="S32" s="17">
        <f aca="true" t="shared" si="1" ref="S32:Z32">S$29-($E$17*$D$23+$E$18*$D$24)</f>
        <v>8.890645075579723</v>
      </c>
      <c r="T32" s="17">
        <f t="shared" si="1"/>
        <v>8.890645075579723</v>
      </c>
      <c r="U32" s="17">
        <f t="shared" si="1"/>
        <v>8.890645075579723</v>
      </c>
      <c r="V32" s="17">
        <f t="shared" si="1"/>
        <v>11.250195637377475</v>
      </c>
      <c r="W32" s="17">
        <f t="shared" si="1"/>
        <v>11.250195637377475</v>
      </c>
      <c r="X32" s="17">
        <f t="shared" si="1"/>
        <v>11.250195637377475</v>
      </c>
      <c r="Y32" s="17">
        <f t="shared" si="1"/>
        <v>13.609746199175227</v>
      </c>
      <c r="Z32" s="17">
        <f t="shared" si="1"/>
        <v>13.609746199175227</v>
      </c>
      <c r="AB32" s="17">
        <f>AB$29-($E$17*$D$23+$E$18*$D$24)</f>
        <v>13.609746199175227</v>
      </c>
    </row>
    <row r="33" spans="2:28" ht="12" customHeight="1">
      <c r="B33" s="40" t="s">
        <v>73</v>
      </c>
      <c r="C33" s="72"/>
      <c r="D33" s="42">
        <v>90</v>
      </c>
      <c r="E33" s="42">
        <v>22</v>
      </c>
      <c r="F33" s="42">
        <v>30</v>
      </c>
      <c r="G33" s="42">
        <v>40</v>
      </c>
      <c r="H33" s="8">
        <f aca="true" t="shared" si="2" ref="H33:H45">88.9-0.779*F33</f>
        <v>65.53</v>
      </c>
      <c r="I33" s="41">
        <v>1.3</v>
      </c>
      <c r="J33" s="41">
        <v>0.3</v>
      </c>
      <c r="K33" s="9">
        <f>E33*$P$46+((88.9-0.779*F33)-E33*0.75)*$P$47+I33*$D$23+J33*$D$24</f>
        <v>7.544373577412343</v>
      </c>
      <c r="L33" s="18">
        <f aca="true" t="shared" si="3" ref="L33:L61">K33*20*D33*0.01*(1-$L$30*0.01)</f>
        <v>135.79872439342216</v>
      </c>
      <c r="M33" s="18">
        <f aca="true" t="shared" si="4" ref="M33:M61">K33*20*D33*0.01*(1-$M$30*0.01)</f>
        <v>129.00878817375104</v>
      </c>
      <c r="N33" s="18">
        <f aca="true" t="shared" si="5" ref="N33:N61">K33*20*D33*0.01*(1-$N$30*0.01)</f>
        <v>122.21885195407995</v>
      </c>
      <c r="O33" s="99">
        <f aca="true" t="shared" si="6" ref="O33:O48">IF(F33&gt;0,((1.2/(G33/100))*(0.889-0.00779*F33))/1.29*100)</f>
        <v>152.3953488372093</v>
      </c>
      <c r="P33" s="17">
        <f>$P$30-($C$17*$D$23+$C$18*$D$24)</f>
        <v>8.174579355551744</v>
      </c>
      <c r="Q33" s="17">
        <f>$C$13</f>
        <v>7.142857142857142</v>
      </c>
      <c r="R33" s="15">
        <f>Q33*0.56</f>
        <v>4</v>
      </c>
      <c r="S33" s="17">
        <f aca="true" t="shared" si="7" ref="S33:Z33">S$30-($C$17*$D$23+$C$18*$D$24)</f>
        <v>6.493907086644183</v>
      </c>
      <c r="T33" s="17">
        <f t="shared" si="7"/>
        <v>8.174579355551744</v>
      </c>
      <c r="U33" s="17">
        <f t="shared" si="7"/>
        <v>9.855251624459306</v>
      </c>
      <c r="V33" s="17">
        <f t="shared" si="7"/>
        <v>6.493907086644183</v>
      </c>
      <c r="W33" s="17">
        <f t="shared" si="7"/>
        <v>8.174579355551744</v>
      </c>
      <c r="X33" s="17">
        <f t="shared" si="7"/>
        <v>9.855251624459306</v>
      </c>
      <c r="Y33" s="17">
        <f t="shared" si="7"/>
        <v>6.493907086644183</v>
      </c>
      <c r="Z33" s="17">
        <f t="shared" si="7"/>
        <v>8.174579355551744</v>
      </c>
      <c r="AB33" s="17">
        <f>AB$30-($C$17*$D$23+$C$18*$D$24)</f>
        <v>9.855251624459306</v>
      </c>
    </row>
    <row r="34" spans="2:28" ht="12" customHeight="1">
      <c r="B34" s="40" t="s">
        <v>74</v>
      </c>
      <c r="C34" s="72"/>
      <c r="D34" s="42">
        <v>90</v>
      </c>
      <c r="E34" s="42">
        <v>19</v>
      </c>
      <c r="F34" s="42">
        <v>33</v>
      </c>
      <c r="G34" s="42">
        <v>44</v>
      </c>
      <c r="H34" s="8">
        <f t="shared" si="2"/>
        <v>63.193000000000005</v>
      </c>
      <c r="I34" s="41">
        <v>1.25</v>
      </c>
      <c r="J34" s="41">
        <v>0.29</v>
      </c>
      <c r="K34" s="9">
        <f aca="true" t="shared" si="8" ref="K34:K40">E34*$P$46+((88.9-0.779*F34)-E34*0.75)*$P$47+I34*$D$23+J34*$D$24</f>
        <v>7.115961517186173</v>
      </c>
      <c r="L34" s="18">
        <f t="shared" si="3"/>
        <v>128.0873073093511</v>
      </c>
      <c r="M34" s="18">
        <f t="shared" si="4"/>
        <v>121.68294194388355</v>
      </c>
      <c r="N34" s="18">
        <f t="shared" si="5"/>
        <v>115.278576578416</v>
      </c>
      <c r="O34" s="99">
        <f t="shared" si="6"/>
        <v>133.60042283298097</v>
      </c>
      <c r="P34" s="17">
        <f>($P$32)/$E$15</f>
        <v>0.2085973774430407</v>
      </c>
      <c r="Q34" s="15"/>
      <c r="R34" s="15"/>
      <c r="S34" s="17">
        <f aca="true" t="shared" si="9" ref="S34:Z34">(S$32)/$E$15</f>
        <v>0.1648473774430407</v>
      </c>
      <c r="T34" s="17">
        <f t="shared" si="9"/>
        <v>0.1648473774430407</v>
      </c>
      <c r="U34" s="17">
        <f t="shared" si="9"/>
        <v>0.1648473774430407</v>
      </c>
      <c r="V34" s="17">
        <f t="shared" si="9"/>
        <v>0.2085973774430407</v>
      </c>
      <c r="W34" s="17">
        <f t="shared" si="9"/>
        <v>0.2085973774430407</v>
      </c>
      <c r="X34" s="17">
        <f t="shared" si="9"/>
        <v>0.2085973774430407</v>
      </c>
      <c r="Y34" s="17">
        <f t="shared" si="9"/>
        <v>0.2523473774430407</v>
      </c>
      <c r="Z34" s="17">
        <f t="shared" si="9"/>
        <v>0.2523473774430407</v>
      </c>
      <c r="AB34" s="17">
        <f>(AB$32)/$E$15</f>
        <v>0.2523473774430407</v>
      </c>
    </row>
    <row r="35" spans="2:28" ht="12" customHeight="1">
      <c r="B35" s="40" t="s">
        <v>75</v>
      </c>
      <c r="C35" s="72"/>
      <c r="D35" s="42">
        <v>90</v>
      </c>
      <c r="E35" s="42">
        <v>16</v>
      </c>
      <c r="F35" s="42">
        <v>38</v>
      </c>
      <c r="G35" s="42">
        <v>50</v>
      </c>
      <c r="H35" s="8">
        <f t="shared" si="2"/>
        <v>59.298</v>
      </c>
      <c r="I35" s="41">
        <v>1.15</v>
      </c>
      <c r="J35" s="41">
        <v>0.27</v>
      </c>
      <c r="K35" s="9">
        <f t="shared" si="8"/>
        <v>6.540940396517602</v>
      </c>
      <c r="L35" s="18">
        <f t="shared" si="3"/>
        <v>117.73692713731681</v>
      </c>
      <c r="M35" s="18">
        <f t="shared" si="4"/>
        <v>111.85008078045097</v>
      </c>
      <c r="N35" s="18">
        <f t="shared" si="5"/>
        <v>105.96323442358513</v>
      </c>
      <c r="O35" s="99">
        <f t="shared" si="6"/>
        <v>110.32186046511629</v>
      </c>
      <c r="P35" s="17">
        <f>($P$33)/($C$16-$C$15*0.75)</f>
        <v>0.10154756963418315</v>
      </c>
      <c r="Q35" s="15"/>
      <c r="R35" s="15"/>
      <c r="S35" s="17">
        <f aca="true" t="shared" si="10" ref="S35:Z35">(S$33)/($C$16-$C$15*0.75)</f>
        <v>0.0806696532502383</v>
      </c>
      <c r="T35" s="17">
        <f t="shared" si="10"/>
        <v>0.10154756963418315</v>
      </c>
      <c r="U35" s="17">
        <f t="shared" si="10"/>
        <v>0.12242548601812803</v>
      </c>
      <c r="V35" s="17">
        <f t="shared" si="10"/>
        <v>0.0806696532502383</v>
      </c>
      <c r="W35" s="17">
        <f t="shared" si="10"/>
        <v>0.10154756963418315</v>
      </c>
      <c r="X35" s="17">
        <f t="shared" si="10"/>
        <v>0.12242548601812803</v>
      </c>
      <c r="Y35" s="17">
        <f t="shared" si="10"/>
        <v>0.0806696532502383</v>
      </c>
      <c r="Z35" s="17">
        <f t="shared" si="10"/>
        <v>0.10154756963418315</v>
      </c>
      <c r="AB35" s="17">
        <f>(AB$33)/($C$16-$C$15*0.75)</f>
        <v>0.12242548601812803</v>
      </c>
    </row>
    <row r="36" spans="2:28" ht="12" customHeight="1">
      <c r="B36" s="40" t="s">
        <v>76</v>
      </c>
      <c r="C36" s="72"/>
      <c r="D36" s="42">
        <v>90</v>
      </c>
      <c r="E36" s="42">
        <v>13</v>
      </c>
      <c r="F36" s="42">
        <v>43</v>
      </c>
      <c r="G36" s="42">
        <v>60</v>
      </c>
      <c r="H36" s="8">
        <f t="shared" si="2"/>
        <v>55.403000000000006</v>
      </c>
      <c r="I36" s="41">
        <v>1.1</v>
      </c>
      <c r="J36" s="41">
        <v>0.25</v>
      </c>
      <c r="K36" s="9">
        <f t="shared" si="8"/>
        <v>5.973005443649486</v>
      </c>
      <c r="L36" s="18">
        <f t="shared" si="3"/>
        <v>107.51409798569074</v>
      </c>
      <c r="M36" s="18">
        <f t="shared" si="4"/>
        <v>102.1383930864062</v>
      </c>
      <c r="N36" s="18">
        <f t="shared" si="5"/>
        <v>96.76268818712167</v>
      </c>
      <c r="O36" s="99">
        <f t="shared" si="6"/>
        <v>85.89612403100774</v>
      </c>
      <c r="P36" s="17">
        <f>($P$32-($E$16-$E$15*0.75)*P35)/$E$15</f>
        <v>0.12094913140253634</v>
      </c>
      <c r="Q36" s="15">
        <f>($E$15*P36+($E$16-0.75*$E$15)*P37+$E$17*$D$23+$E$18*$D$24)*($E$14/100)</f>
        <v>9.877525153539493</v>
      </c>
      <c r="R36" s="15">
        <f>Q36*20</f>
        <v>197.55050307078986</v>
      </c>
      <c r="S36" s="17">
        <f aca="true" t="shared" si="11" ref="S36:Z36">(S$32-($E$16-$E$15*0.75)*S35)/$E$15</f>
        <v>0.09521938298142876</v>
      </c>
      <c r="T36" s="17">
        <f t="shared" si="11"/>
        <v>0.07719913140253636</v>
      </c>
      <c r="U36" s="17">
        <f t="shared" si="11"/>
        <v>0.059178879823643935</v>
      </c>
      <c r="V36" s="17">
        <f t="shared" si="11"/>
        <v>0.13896938298142875</v>
      </c>
      <c r="W36" s="17">
        <f t="shared" si="11"/>
        <v>0.12094913140253634</v>
      </c>
      <c r="X36" s="17">
        <f t="shared" si="11"/>
        <v>0.10292887982364392</v>
      </c>
      <c r="Y36" s="17">
        <f t="shared" si="11"/>
        <v>0.18271938298142876</v>
      </c>
      <c r="Z36" s="17">
        <f t="shared" si="11"/>
        <v>0.16469913140253634</v>
      </c>
      <c r="AB36" s="17">
        <f>(AB$32-($E$16-$E$15*0.75)*AB35)/$E$15</f>
        <v>0.14667887982364392</v>
      </c>
    </row>
    <row r="37" spans="2:28" ht="12" customHeight="1">
      <c r="B37" s="40" t="s">
        <v>77</v>
      </c>
      <c r="C37" s="72"/>
      <c r="D37" s="42">
        <v>55</v>
      </c>
      <c r="E37" s="42">
        <v>18</v>
      </c>
      <c r="F37" s="42">
        <v>30</v>
      </c>
      <c r="G37" s="42">
        <v>45</v>
      </c>
      <c r="H37" s="8">
        <f t="shared" si="2"/>
        <v>65.53</v>
      </c>
      <c r="I37" s="41">
        <v>1</v>
      </c>
      <c r="J37" s="41">
        <v>0.28</v>
      </c>
      <c r="K37" s="9">
        <f t="shared" si="8"/>
        <v>7.199050275160034</v>
      </c>
      <c r="L37" s="18">
        <f t="shared" si="3"/>
        <v>79.18955302676038</v>
      </c>
      <c r="M37" s="18">
        <f t="shared" si="4"/>
        <v>75.23007537542236</v>
      </c>
      <c r="N37" s="18">
        <f t="shared" si="5"/>
        <v>71.27059772408434</v>
      </c>
      <c r="O37" s="99">
        <f t="shared" si="6"/>
        <v>135.46253229974158</v>
      </c>
      <c r="P37" s="17">
        <f>($P$33-$C$15*P36)/($C$16-$C$15*0.75)</f>
        <v>0.0865228328139923</v>
      </c>
      <c r="Q37" s="17">
        <f>(($C$15*P36+($C$16-$C$15*0.75)*P37+$C$17*$D$23+$C$18*$D$24)*($C$14/100))</f>
        <v>7.1428571428571415</v>
      </c>
      <c r="R37" s="15">
        <f>Q37*0.56</f>
        <v>3.9999999999999996</v>
      </c>
      <c r="S37" s="17">
        <f aca="true" t="shared" si="12" ref="S37:Z37">(S$33-$C$15*S36)/($C$16-$C$15*0.75)</f>
        <v>0.06884115846993658</v>
      </c>
      <c r="T37" s="17">
        <f t="shared" si="12"/>
        <v>0.09195761542268796</v>
      </c>
      <c r="U37" s="17">
        <f t="shared" si="12"/>
        <v>0.11507407237543933</v>
      </c>
      <c r="V37" s="17">
        <f t="shared" si="12"/>
        <v>0.06340637586124094</v>
      </c>
      <c r="W37" s="17">
        <f t="shared" si="12"/>
        <v>0.0865228328139923</v>
      </c>
      <c r="X37" s="17">
        <f t="shared" si="12"/>
        <v>0.10963928976674368</v>
      </c>
      <c r="Y37" s="17">
        <f t="shared" si="12"/>
        <v>0.05797159325254528</v>
      </c>
      <c r="Z37" s="17">
        <f t="shared" si="12"/>
        <v>0.08108805020529665</v>
      </c>
      <c r="AB37" s="17">
        <f>(AB$33-$C$15*AB36)/($C$16-$C$15*0.75)</f>
        <v>0.10420450715804803</v>
      </c>
    </row>
    <row r="38" spans="2:28" ht="12" customHeight="1">
      <c r="B38" s="40" t="s">
        <v>78</v>
      </c>
      <c r="C38" s="72"/>
      <c r="D38" s="42">
        <v>55</v>
      </c>
      <c r="E38" s="42">
        <v>15</v>
      </c>
      <c r="F38" s="42">
        <v>40</v>
      </c>
      <c r="G38" s="42">
        <v>55</v>
      </c>
      <c r="H38" s="8">
        <f t="shared" si="2"/>
        <v>57.74000000000001</v>
      </c>
      <c r="I38" s="41">
        <v>0.85</v>
      </c>
      <c r="J38" s="41">
        <v>0.24</v>
      </c>
      <c r="K38" s="9">
        <f t="shared" si="8"/>
        <v>6.271901547117244</v>
      </c>
      <c r="L38" s="18">
        <f t="shared" si="3"/>
        <v>68.99091701828968</v>
      </c>
      <c r="M38" s="18">
        <f t="shared" si="4"/>
        <v>65.54137116737519</v>
      </c>
      <c r="N38" s="18">
        <f t="shared" si="5"/>
        <v>62.091825316460714</v>
      </c>
      <c r="O38" s="99">
        <f t="shared" si="6"/>
        <v>97.65750528541226</v>
      </c>
      <c r="P38" s="17">
        <f>($P$32-($E$16-$E$15*0.75)*P37)/$E$15</f>
        <v>0.1339173573704636</v>
      </c>
      <c r="Q38" s="15">
        <f>($E$15*P38+($E$16-0.75*$E$15)*P39+$E$17*$D$23+$E$18*$D$24)*($E$14/100)</f>
        <v>10.433257937658233</v>
      </c>
      <c r="R38" s="15">
        <f>Q38*20</f>
        <v>208.66515875316466</v>
      </c>
      <c r="S38" s="17">
        <f aca="true" t="shared" si="13" ref="S38:Z38">(S$32-($E$16-$E$15*0.75)*S37)/$E$15</f>
        <v>0.10542885253867669</v>
      </c>
      <c r="T38" s="17">
        <f t="shared" si="13"/>
        <v>0.08547646063133314</v>
      </c>
      <c r="U38" s="17">
        <f t="shared" si="13"/>
        <v>0.06552406872398961</v>
      </c>
      <c r="V38" s="17">
        <f t="shared" si="13"/>
        <v>0.1538697492778071</v>
      </c>
      <c r="W38" s="17">
        <f t="shared" si="13"/>
        <v>0.1339173573704636</v>
      </c>
      <c r="X38" s="17">
        <f t="shared" si="13"/>
        <v>0.11396496546312003</v>
      </c>
      <c r="Y38" s="17">
        <f t="shared" si="13"/>
        <v>0.20231064601693752</v>
      </c>
      <c r="Z38" s="17">
        <f t="shared" si="13"/>
        <v>0.182358254109594</v>
      </c>
      <c r="AB38" s="17">
        <f>(AB$32-($E$16-$E$15*0.75)*AB37)/$E$15</f>
        <v>0.16240586220225042</v>
      </c>
    </row>
    <row r="39" spans="2:28" ht="12" customHeight="1">
      <c r="B39" s="40" t="s">
        <v>79</v>
      </c>
      <c r="C39" s="72"/>
      <c r="D39" s="42">
        <v>55</v>
      </c>
      <c r="E39" s="42">
        <v>12</v>
      </c>
      <c r="F39" s="42">
        <v>45</v>
      </c>
      <c r="G39" s="42">
        <v>60</v>
      </c>
      <c r="H39" s="8">
        <f t="shared" si="2"/>
        <v>53.845000000000006</v>
      </c>
      <c r="I39" s="41">
        <v>0.75</v>
      </c>
      <c r="J39" s="41">
        <v>0.22</v>
      </c>
      <c r="K39" s="9">
        <f t="shared" si="8"/>
        <v>5.696880426448672</v>
      </c>
      <c r="L39" s="18">
        <f t="shared" si="3"/>
        <v>62.6656846909354</v>
      </c>
      <c r="M39" s="18">
        <f t="shared" si="4"/>
        <v>59.53240045638863</v>
      </c>
      <c r="N39" s="18">
        <f t="shared" si="5"/>
        <v>56.39911622184186</v>
      </c>
      <c r="O39" s="99">
        <f t="shared" si="6"/>
        <v>83.48062015503875</v>
      </c>
      <c r="P39" s="17">
        <f>($P$33-$C$15*P38)/($C$16-$C$15*0.75)</f>
        <v>0.0849118730664237</v>
      </c>
      <c r="Q39" s="17">
        <f>(($C$15*P38+($C$16-$C$15*0.75)*P39+$C$17*$D$23+$C$18*$D$24)*($C$14/100))</f>
        <v>7.1428571428571415</v>
      </c>
      <c r="R39" s="15">
        <f>Q39*0.56</f>
        <v>3.9999999999999996</v>
      </c>
      <c r="S39" s="17">
        <f aca="true" t="shared" si="14" ref="S39:Z39">(S$33-$C$15*S38)/($C$16-$C$15*0.75)</f>
        <v>0.0675729013820797</v>
      </c>
      <c r="T39" s="17">
        <f t="shared" si="14"/>
        <v>0.0909293757669368</v>
      </c>
      <c r="U39" s="17">
        <f t="shared" si="14"/>
        <v>0.11428585015179392</v>
      </c>
      <c r="V39" s="17">
        <f t="shared" si="14"/>
        <v>0.061555398681566606</v>
      </c>
      <c r="W39" s="17">
        <f t="shared" si="14"/>
        <v>0.0849118730664237</v>
      </c>
      <c r="X39" s="17">
        <f t="shared" si="14"/>
        <v>0.10826834745128083</v>
      </c>
      <c r="Y39" s="17">
        <f t="shared" si="14"/>
        <v>0.0555378959810535</v>
      </c>
      <c r="Z39" s="17">
        <f t="shared" si="14"/>
        <v>0.07889437036591061</v>
      </c>
      <c r="AB39" s="17">
        <f>(AB$33-$C$15*AB38)/($C$16-$C$15*0.75)</f>
        <v>0.10225084475076773</v>
      </c>
    </row>
    <row r="40" spans="2:28" ht="12" customHeight="1">
      <c r="B40" s="40" t="s">
        <v>80</v>
      </c>
      <c r="C40" s="72"/>
      <c r="D40" s="42">
        <v>35</v>
      </c>
      <c r="E40" s="42">
        <v>16</v>
      </c>
      <c r="F40" s="42">
        <v>35</v>
      </c>
      <c r="G40" s="42">
        <v>55</v>
      </c>
      <c r="H40" s="8">
        <f t="shared" si="2"/>
        <v>61.635000000000005</v>
      </c>
      <c r="I40" s="41">
        <v>0.5</v>
      </c>
      <c r="J40" s="41">
        <v>0.3</v>
      </c>
      <c r="K40" s="9">
        <f t="shared" si="8"/>
        <v>6.66940193016792</v>
      </c>
      <c r="L40" s="18">
        <f t="shared" si="3"/>
        <v>46.685813511175446</v>
      </c>
      <c r="M40" s="18">
        <f t="shared" si="4"/>
        <v>44.35152283561667</v>
      </c>
      <c r="N40" s="18">
        <f t="shared" si="5"/>
        <v>42.0172321600579</v>
      </c>
      <c r="O40" s="99">
        <f t="shared" si="6"/>
        <v>104.24524312896403</v>
      </c>
      <c r="P40" s="17">
        <f>($P$32-($E$16-$E$15*0.75)*P39)/$E$15</f>
        <v>0.13530781700258374</v>
      </c>
      <c r="Q40" s="15">
        <f>($E$15*P40+($E$16-0.75*$E$15)*P41+$E$17*$D$23+$E$18*$D$24)*($E$14/100)</f>
        <v>10.49284388291196</v>
      </c>
      <c r="R40" s="15">
        <f>Q40*20</f>
        <v>209.85687765823917</v>
      </c>
      <c r="S40" s="17">
        <f aca="true" t="shared" si="15" ref="S40:Z40">($P$32-($E$16-$E$15*0.75)*S39)/$E$15</f>
        <v>0.15027351693763313</v>
      </c>
      <c r="T40" s="17">
        <f t="shared" si="15"/>
        <v>0.13011395998420336</v>
      </c>
      <c r="U40" s="17">
        <f t="shared" si="15"/>
        <v>0.10995440303077354</v>
      </c>
      <c r="V40" s="17">
        <f t="shared" si="15"/>
        <v>0.1554673739560135</v>
      </c>
      <c r="W40" s="17">
        <f t="shared" si="15"/>
        <v>0.13530781700258374</v>
      </c>
      <c r="X40" s="17">
        <f t="shared" si="15"/>
        <v>0.1151482600491539</v>
      </c>
      <c r="Y40" s="17">
        <f t="shared" si="15"/>
        <v>0.1606612309743939</v>
      </c>
      <c r="Z40" s="17">
        <f t="shared" si="15"/>
        <v>0.14050167402096408</v>
      </c>
      <c r="AB40" s="17">
        <f>($P$32-($E$16-$E$15*0.75)*AB39)/$E$15</f>
        <v>0.12034211706753428</v>
      </c>
    </row>
    <row r="41" spans="2:28" ht="12" customHeight="1">
      <c r="B41" s="40" t="s">
        <v>81</v>
      </c>
      <c r="C41" s="72"/>
      <c r="D41" s="42">
        <v>35</v>
      </c>
      <c r="E41" s="42">
        <v>12</v>
      </c>
      <c r="F41" s="42">
        <v>40</v>
      </c>
      <c r="G41" s="42">
        <v>65</v>
      </c>
      <c r="H41" s="8">
        <f t="shared" si="2"/>
        <v>57.74000000000001</v>
      </c>
      <c r="I41" s="41">
        <v>0.5</v>
      </c>
      <c r="J41" s="41">
        <v>0.25</v>
      </c>
      <c r="K41" s="9">
        <f>E41*$P$46+((88.9-0.779*F41)-E41*0.75)*$P$47+I41*$D$23+J41*$D$24</f>
        <v>6.0140226110823685</v>
      </c>
      <c r="L41" s="18">
        <f t="shared" si="3"/>
        <v>42.09815827757658</v>
      </c>
      <c r="M41" s="18">
        <f t="shared" si="4"/>
        <v>39.99325036369775</v>
      </c>
      <c r="N41" s="18">
        <f t="shared" si="5"/>
        <v>37.88834244981892</v>
      </c>
      <c r="O41" s="99">
        <f t="shared" si="6"/>
        <v>82.63327370304114</v>
      </c>
      <c r="P41" s="17">
        <f>($P$33-$C$15*P40)/($C$16-$C$15*0.75)</f>
        <v>0.08473914516181251</v>
      </c>
      <c r="Q41" s="17">
        <f>(($C$15*P40+($C$16-$C$15*0.75)*P41+$C$17*$D$23+$C$18*$D$24)*($C$14/100))</f>
        <v>7.142857142857143</v>
      </c>
      <c r="R41" s="15">
        <f>Q41*0.56</f>
        <v>4.000000000000001</v>
      </c>
      <c r="S41" s="17">
        <f aca="true" t="shared" si="16" ref="S41:Z41">($P$33-$C$15*S40)/($C$16-$C$15*0.75)</f>
        <v>0.08288005200217904</v>
      </c>
      <c r="T41" s="17">
        <f t="shared" si="16"/>
        <v>0.08538434479142497</v>
      </c>
      <c r="U41" s="17">
        <f t="shared" si="16"/>
        <v>0.0878886375806709</v>
      </c>
      <c r="V41" s="17">
        <f t="shared" si="16"/>
        <v>0.08223485237256657</v>
      </c>
      <c r="W41" s="17">
        <f t="shared" si="16"/>
        <v>0.08473914516181251</v>
      </c>
      <c r="X41" s="17">
        <f t="shared" si="16"/>
        <v>0.08724343795105845</v>
      </c>
      <c r="Y41" s="17">
        <f t="shared" si="16"/>
        <v>0.0815896527429541</v>
      </c>
      <c r="Z41" s="17">
        <f t="shared" si="16"/>
        <v>0.08409394553220004</v>
      </c>
      <c r="AB41" s="17">
        <f>($P$33-$C$15*AB40)/($C$16-$C$15*0.75)</f>
        <v>0.08659823832144597</v>
      </c>
    </row>
    <row r="42" spans="2:28" ht="12" customHeight="1">
      <c r="B42" s="40" t="s">
        <v>82</v>
      </c>
      <c r="C42" s="72"/>
      <c r="D42" s="42">
        <v>35</v>
      </c>
      <c r="E42" s="42">
        <v>7</v>
      </c>
      <c r="F42" s="42">
        <v>45</v>
      </c>
      <c r="G42" s="42">
        <v>75</v>
      </c>
      <c r="H42" s="8">
        <f t="shared" si="2"/>
        <v>53.845000000000006</v>
      </c>
      <c r="I42" s="41">
        <v>0.45</v>
      </c>
      <c r="J42" s="41">
        <v>0.2</v>
      </c>
      <c r="K42" s="9">
        <f aca="true" t="shared" si="17" ref="K42:K60">E42*$P$46+((88.9-0.779*F42)-E42*0.75)*$P$47+I42*$D$23+J42*$D$24</f>
        <v>5.279621342365064</v>
      </c>
      <c r="L42" s="18">
        <f t="shared" si="3"/>
        <v>36.95734939655545</v>
      </c>
      <c r="M42" s="18">
        <f t="shared" si="4"/>
        <v>35.109481926727675</v>
      </c>
      <c r="N42" s="18">
        <f t="shared" si="5"/>
        <v>33.261614456899906</v>
      </c>
      <c r="O42" s="99">
        <f t="shared" si="6"/>
        <v>66.784496124031</v>
      </c>
      <c r="P42" s="17">
        <f>($P$32-($E$16-$E$15*0.75)*P41)/$E$15</f>
        <v>0.13545690277525124</v>
      </c>
      <c r="Q42" s="15">
        <f>($E$15*P42+($E$16-0.75*$E$15)*P43+$E$17*$D$23+$E$18*$D$24)*($E$14/100)</f>
        <v>10.499232717569981</v>
      </c>
      <c r="R42" s="15">
        <f>Q42*20</f>
        <v>209.98465435139963</v>
      </c>
      <c r="S42" s="17">
        <f aca="true" t="shared" si="18" ref="S42:Z42">(S$32-($E$16-$E$15*0.75)*S41)/$E$15</f>
        <v>0.09331153255865991</v>
      </c>
      <c r="T42" s="17">
        <f t="shared" si="18"/>
        <v>0.09115001484494203</v>
      </c>
      <c r="U42" s="17">
        <f t="shared" si="18"/>
        <v>0.08898849713122411</v>
      </c>
      <c r="V42" s="17">
        <f t="shared" si="18"/>
        <v>0.13761842048896916</v>
      </c>
      <c r="W42" s="17">
        <f t="shared" si="18"/>
        <v>0.13545690277525124</v>
      </c>
      <c r="X42" s="17">
        <f t="shared" si="18"/>
        <v>0.13329538506153335</v>
      </c>
      <c r="Y42" s="17">
        <f t="shared" si="18"/>
        <v>0.1819253084192784</v>
      </c>
      <c r="Z42" s="17">
        <f t="shared" si="18"/>
        <v>0.1797637907055605</v>
      </c>
      <c r="AB42" s="17">
        <f>(AB$32-($E$16-$E$15*0.75)*AB41)/$E$15</f>
        <v>0.1776022729918426</v>
      </c>
    </row>
    <row r="43" spans="2:28" ht="12" customHeight="1">
      <c r="B43" s="40" t="s">
        <v>83</v>
      </c>
      <c r="C43" s="72"/>
      <c r="D43" s="42">
        <v>35</v>
      </c>
      <c r="E43" s="42">
        <v>8.2</v>
      </c>
      <c r="F43" s="42">
        <v>24</v>
      </c>
      <c r="G43" s="42">
        <v>45</v>
      </c>
      <c r="H43" s="8">
        <f t="shared" si="2"/>
        <v>70.20400000000001</v>
      </c>
      <c r="I43" s="41">
        <v>0.3</v>
      </c>
      <c r="J43" s="41">
        <v>0.2</v>
      </c>
      <c r="K43" s="9">
        <f t="shared" si="17"/>
        <v>6.730594517248634</v>
      </c>
      <c r="L43" s="18">
        <f t="shared" si="3"/>
        <v>47.11416162074044</v>
      </c>
      <c r="M43" s="18">
        <f t="shared" si="4"/>
        <v>44.75845353970342</v>
      </c>
      <c r="N43" s="18">
        <f t="shared" si="5"/>
        <v>42.402745458666395</v>
      </c>
      <c r="O43" s="99">
        <f t="shared" si="6"/>
        <v>145.12454780361756</v>
      </c>
      <c r="P43" s="17">
        <f>($P$33-$C$15*P42)/($C$16-$C$15*0.75)</f>
        <v>0.08472062519005256</v>
      </c>
      <c r="Q43" s="17">
        <f>(($C$15*P42+($C$16-$C$15*0.75)*P43+$C$17*$D$23+$C$18*$D$24)*($C$14/100))</f>
        <v>7.1428571428571415</v>
      </c>
      <c r="R43" s="15">
        <f>Q43*0.56</f>
        <v>3.9999999999999996</v>
      </c>
      <c r="S43" s="17">
        <f aca="true" t="shared" si="19" ref="S43:Z43">(S$33-$C$15*S42)/($C$16-$C$15*0.75)</f>
        <v>0.06907815852245446</v>
      </c>
      <c r="T43" s="17">
        <f t="shared" si="19"/>
        <v>0.09022458642363135</v>
      </c>
      <c r="U43" s="17">
        <f t="shared" si="19"/>
        <v>0.11137101432480825</v>
      </c>
      <c r="V43" s="17">
        <f t="shared" si="19"/>
        <v>0.06357419728887566</v>
      </c>
      <c r="W43" s="17">
        <f t="shared" si="19"/>
        <v>0.08472062519005256</v>
      </c>
      <c r="X43" s="17">
        <f t="shared" si="19"/>
        <v>0.10586705309122948</v>
      </c>
      <c r="Y43" s="17">
        <f t="shared" si="19"/>
        <v>0.058070236055296875</v>
      </c>
      <c r="Z43" s="17">
        <f t="shared" si="19"/>
        <v>0.07921666395647378</v>
      </c>
      <c r="AB43" s="17">
        <f>(AB$33-$C$15*AB42)/($C$16-$C$15*0.75)</f>
        <v>0.1003630918576507</v>
      </c>
    </row>
    <row r="44" spans="2:28" ht="12" customHeight="1">
      <c r="B44" s="40" t="s">
        <v>84</v>
      </c>
      <c r="C44" s="72"/>
      <c r="D44" s="42">
        <v>35</v>
      </c>
      <c r="E44" s="42">
        <v>7.5</v>
      </c>
      <c r="F44" s="42">
        <v>27</v>
      </c>
      <c r="G44" s="42">
        <v>48</v>
      </c>
      <c r="H44" s="8">
        <f t="shared" si="2"/>
        <v>67.867</v>
      </c>
      <c r="I44" s="41">
        <v>0.3</v>
      </c>
      <c r="J44" s="41">
        <v>0.2</v>
      </c>
      <c r="K44" s="9">
        <f t="shared" si="17"/>
        <v>6.4822525070971</v>
      </c>
      <c r="L44" s="18">
        <f t="shared" si="3"/>
        <v>45.37576754967969</v>
      </c>
      <c r="M44" s="18">
        <f t="shared" si="4"/>
        <v>43.10697917219571</v>
      </c>
      <c r="N44" s="18">
        <f t="shared" si="5"/>
        <v>40.83819079471173</v>
      </c>
      <c r="O44" s="99">
        <f t="shared" si="6"/>
        <v>131.5251937984496</v>
      </c>
      <c r="P44" s="17">
        <f>($P$32-($E$16-$E$15*0.75)*P43)/$E$15</f>
        <v>0.13547288782587658</v>
      </c>
      <c r="Q44" s="15">
        <f>($E$15*P44+($E$16-0.75*$E$15)*P45+$E$17*$D$23+$E$18*$D$24)*($E$14/100)</f>
        <v>10.499917731596597</v>
      </c>
      <c r="R44" s="15">
        <f>Q44*20</f>
        <v>209.99835463193193</v>
      </c>
      <c r="S44" s="17">
        <f aca="true" t="shared" si="20" ref="S44:Z44">(S$32-($E$16-$E$15*0.75)*S43)/$E$15</f>
        <v>0.1052242918683472</v>
      </c>
      <c r="T44" s="17">
        <f t="shared" si="20"/>
        <v>0.08697228128614388</v>
      </c>
      <c r="U44" s="17">
        <f t="shared" si="20"/>
        <v>0.06872027070394057</v>
      </c>
      <c r="V44" s="17">
        <f t="shared" si="20"/>
        <v>0.15372489840807987</v>
      </c>
      <c r="W44" s="17">
        <f t="shared" si="20"/>
        <v>0.13547288782587658</v>
      </c>
      <c r="X44" s="17">
        <f t="shared" si="20"/>
        <v>0.11722087724367322</v>
      </c>
      <c r="Y44" s="17">
        <f t="shared" si="20"/>
        <v>0.20222550494781258</v>
      </c>
      <c r="Z44" s="17">
        <f t="shared" si="20"/>
        <v>0.18397349436560925</v>
      </c>
      <c r="AB44" s="17">
        <f>(AB$32-($E$16-$E$15*0.75)*AB43)/$E$15</f>
        <v>0.16572148378340593</v>
      </c>
    </row>
    <row r="45" spans="2:28" ht="12" customHeight="1">
      <c r="B45" s="40" t="s">
        <v>85</v>
      </c>
      <c r="C45" s="72"/>
      <c r="D45" s="42">
        <v>35</v>
      </c>
      <c r="E45" s="42">
        <v>7.5</v>
      </c>
      <c r="F45" s="42">
        <v>33</v>
      </c>
      <c r="G45" s="42">
        <v>55</v>
      </c>
      <c r="H45" s="8">
        <f t="shared" si="2"/>
        <v>63.193000000000005</v>
      </c>
      <c r="I45" s="41">
        <v>0.3</v>
      </c>
      <c r="J45" s="41">
        <v>0.2</v>
      </c>
      <c r="K45" s="9">
        <f t="shared" si="17"/>
        <v>6.086278581357851</v>
      </c>
      <c r="L45" s="18">
        <f t="shared" si="3"/>
        <v>42.603950069504954</v>
      </c>
      <c r="M45" s="18">
        <f t="shared" si="4"/>
        <v>40.4737525660297</v>
      </c>
      <c r="N45" s="18">
        <f t="shared" si="5"/>
        <v>38.34355506255446</v>
      </c>
      <c r="O45" s="99">
        <f t="shared" si="6"/>
        <v>106.88033826638477</v>
      </c>
      <c r="P45" s="17">
        <f>($P$33-$C$15*P44)/($C$16-$C$15*0.75)</f>
        <v>0.084718639469478</v>
      </c>
      <c r="Q45" s="17">
        <f>(($C$15*P44+($C$16-$C$15*0.75)*P45+$C$17*$D$23+$C$18*$D$24)*($C$14/100))</f>
        <v>7.142857142857143</v>
      </c>
      <c r="R45" s="15">
        <f>Q45*0.56</f>
        <v>4.000000000000001</v>
      </c>
      <c r="S45" s="17">
        <f aca="true" t="shared" si="21" ref="S45:Z45">(S$33-$C$15*S44)/($C$16-$C$15*0.75)</f>
        <v>0.06759831264547467</v>
      </c>
      <c r="T45" s="17">
        <f t="shared" si="21"/>
        <v>0.09074355953652553</v>
      </c>
      <c r="U45" s="17">
        <f t="shared" si="21"/>
        <v>0.1138888064275764</v>
      </c>
      <c r="V45" s="17">
        <f t="shared" si="21"/>
        <v>0.06157339257842712</v>
      </c>
      <c r="W45" s="17">
        <f t="shared" si="21"/>
        <v>0.084718639469478</v>
      </c>
      <c r="X45" s="17">
        <f t="shared" si="21"/>
        <v>0.10786388636052886</v>
      </c>
      <c r="Y45" s="17">
        <f t="shared" si="21"/>
        <v>0.055548472511379586</v>
      </c>
      <c r="Z45" s="17">
        <f t="shared" si="21"/>
        <v>0.07869371940243045</v>
      </c>
      <c r="AB45" s="17">
        <f>(AB$33-$C$15*AB44)/($C$16-$C$15*0.75)</f>
        <v>0.10183896629348133</v>
      </c>
    </row>
    <row r="46" spans="2:28" ht="12" customHeight="1">
      <c r="B46" s="40" t="s">
        <v>86</v>
      </c>
      <c r="C46" s="72"/>
      <c r="D46" s="42">
        <v>35</v>
      </c>
      <c r="E46" s="42">
        <v>6.5</v>
      </c>
      <c r="F46" s="42">
        <v>38</v>
      </c>
      <c r="G46" s="42">
        <v>63</v>
      </c>
      <c r="H46" s="8">
        <f aca="true" t="shared" si="22" ref="H46:H51">88.9-0.779*F46</f>
        <v>59.298</v>
      </c>
      <c r="I46" s="41">
        <v>0.4</v>
      </c>
      <c r="J46" s="41">
        <v>0.1</v>
      </c>
      <c r="K46" s="9">
        <f t="shared" si="17"/>
        <v>5.623221023056122</v>
      </c>
      <c r="L46" s="18">
        <f t="shared" si="3"/>
        <v>39.362547161392854</v>
      </c>
      <c r="M46" s="18">
        <f t="shared" si="4"/>
        <v>37.39441980332321</v>
      </c>
      <c r="N46" s="18">
        <f t="shared" si="5"/>
        <v>35.42629244525357</v>
      </c>
      <c r="O46" s="99">
        <f t="shared" si="6"/>
        <v>87.55703211517167</v>
      </c>
      <c r="P46" s="17">
        <f>($P$32-($E$16-$E$15*0.75)*P45)/$E$15</f>
        <v>0.13547460175094747</v>
      </c>
      <c r="Q46" s="15">
        <f>($E$15*$P$46+($E$16-0.75*$E$15)*$P$47+$E$17*$D$23+$E$18*$D$24)*($E$14/100)</f>
        <v>10.499991179140906</v>
      </c>
      <c r="R46" s="15">
        <f>Q46*20</f>
        <v>209.99982358281812</v>
      </c>
      <c r="S46" s="17">
        <f aca="true" t="shared" si="23" ref="S46:Z46">(S$32-($E$16-$E$15*0.75)*S45)/$E$15</f>
        <v>0.10650158384091538</v>
      </c>
      <c r="T46" s="17">
        <f t="shared" si="23"/>
        <v>0.0865243426180771</v>
      </c>
      <c r="U46" s="17">
        <f t="shared" si="23"/>
        <v>0.06654710139523881</v>
      </c>
      <c r="V46" s="17">
        <f t="shared" si="23"/>
        <v>0.15545184297378578</v>
      </c>
      <c r="W46" s="17">
        <f t="shared" si="23"/>
        <v>0.13547460175094747</v>
      </c>
      <c r="X46" s="17">
        <f t="shared" si="23"/>
        <v>0.1154973605281092</v>
      </c>
      <c r="Y46" s="17">
        <f t="shared" si="23"/>
        <v>0.20440210210665616</v>
      </c>
      <c r="Z46" s="17">
        <f t="shared" si="23"/>
        <v>0.1844248608838179</v>
      </c>
      <c r="AB46" s="17">
        <f>(AB$32-($E$16-$E$15*0.75)*AB45)/$E$15</f>
        <v>0.1644476196609796</v>
      </c>
    </row>
    <row r="47" spans="2:28" ht="12" customHeight="1">
      <c r="B47" s="40" t="s">
        <v>87</v>
      </c>
      <c r="C47" s="72"/>
      <c r="D47" s="42">
        <v>35</v>
      </c>
      <c r="E47" s="42">
        <v>6</v>
      </c>
      <c r="F47" s="42">
        <v>40</v>
      </c>
      <c r="G47" s="42">
        <v>65</v>
      </c>
      <c r="H47" s="8">
        <f t="shared" si="22"/>
        <v>57.74000000000001</v>
      </c>
      <c r="I47" s="41">
        <v>0.4</v>
      </c>
      <c r="J47" s="41">
        <v>0.1</v>
      </c>
      <c r="K47" s="9">
        <f t="shared" si="17"/>
        <v>5.455261823560723</v>
      </c>
      <c r="L47" s="18">
        <f t="shared" si="3"/>
        <v>38.18683276492506</v>
      </c>
      <c r="M47" s="18">
        <f t="shared" si="4"/>
        <v>36.277491126678804</v>
      </c>
      <c r="N47" s="18">
        <f t="shared" si="5"/>
        <v>34.36814948843255</v>
      </c>
      <c r="O47" s="99">
        <f t="shared" si="6"/>
        <v>82.63327370304114</v>
      </c>
      <c r="P47" s="17">
        <f>($P$33-$C$15*$P$46)/($C$16-$C$15*0.75)</f>
        <v>0.0847184265595313</v>
      </c>
      <c r="Q47" s="17">
        <f>(($C$15*$P$46+($C$16-$C$15*0.75)*$P$47+$C$17*$D$23+$C$18*$D$24)*($C$14/100))</f>
        <v>7.1428571428571415</v>
      </c>
      <c r="R47" s="15">
        <f>Q47*0.56</f>
        <v>3.9999999999999996</v>
      </c>
      <c r="S47" s="17">
        <f aca="true" t="shared" si="24" ref="S47:Z47">(S$33-$C$15*S46)/($C$16-$C$15*0.75)</f>
        <v>0.06743964283521775</v>
      </c>
      <c r="T47" s="17">
        <f t="shared" si="24"/>
        <v>0.09079920409156488</v>
      </c>
      <c r="U47" s="17">
        <f t="shared" si="24"/>
        <v>0.11415876534791203</v>
      </c>
      <c r="V47" s="17">
        <f t="shared" si="24"/>
        <v>0.061358865303184164</v>
      </c>
      <c r="W47" s="17">
        <f t="shared" si="24"/>
        <v>0.0847184265595313</v>
      </c>
      <c r="X47" s="17">
        <f t="shared" si="24"/>
        <v>0.10807798781587843</v>
      </c>
      <c r="Y47" s="17">
        <f t="shared" si="24"/>
        <v>0.05527808777115057</v>
      </c>
      <c r="Z47" s="17">
        <f t="shared" si="24"/>
        <v>0.0786376490274977</v>
      </c>
      <c r="AB47" s="17">
        <f>(AB$33-$C$15*AB46)/($C$16-$C$15*0.75)</f>
        <v>0.10199721028384486</v>
      </c>
    </row>
    <row r="48" spans="2:20" ht="12" customHeight="1">
      <c r="B48" s="40" t="s">
        <v>88</v>
      </c>
      <c r="C48" s="72"/>
      <c r="D48" s="42">
        <v>35</v>
      </c>
      <c r="E48" s="42">
        <v>12.8</v>
      </c>
      <c r="F48" s="42">
        <v>35</v>
      </c>
      <c r="G48" s="42">
        <v>55</v>
      </c>
      <c r="H48" s="8">
        <f t="shared" si="22"/>
        <v>61.635000000000005</v>
      </c>
      <c r="I48" s="41">
        <v>0.45</v>
      </c>
      <c r="J48" s="41">
        <v>0.28</v>
      </c>
      <c r="K48" s="9">
        <f t="shared" si="17"/>
        <v>6.417058092382917</v>
      </c>
      <c r="L48" s="18">
        <f t="shared" si="3"/>
        <v>44.91940664668043</v>
      </c>
      <c r="M48" s="18">
        <f t="shared" si="4"/>
        <v>42.673436314346404</v>
      </c>
      <c r="N48" s="18">
        <f t="shared" si="5"/>
        <v>40.427465982012386</v>
      </c>
      <c r="O48" s="99">
        <f t="shared" si="6"/>
        <v>104.24524312896403</v>
      </c>
      <c r="P48" s="19">
        <f>$P$46*0.85</f>
        <v>0.11515341148830535</v>
      </c>
      <c r="R48" s="20"/>
      <c r="S48" s="17"/>
      <c r="T48" s="13"/>
    </row>
    <row r="49" spans="2:19" ht="12" customHeight="1">
      <c r="B49" s="40" t="s">
        <v>90</v>
      </c>
      <c r="C49" s="72"/>
      <c r="D49" s="42">
        <v>35</v>
      </c>
      <c r="E49" s="42">
        <v>9</v>
      </c>
      <c r="F49" s="42">
        <v>42</v>
      </c>
      <c r="G49" s="42">
        <v>63</v>
      </c>
      <c r="H49" s="8">
        <f t="shared" si="22"/>
        <v>56.182</v>
      </c>
      <c r="I49" s="41">
        <v>0.4</v>
      </c>
      <c r="J49" s="41">
        <v>0.25</v>
      </c>
      <c r="K49" s="9">
        <f t="shared" si="17"/>
        <v>5.652051621407814</v>
      </c>
      <c r="L49" s="18">
        <f t="shared" si="3"/>
        <v>39.5643613498547</v>
      </c>
      <c r="M49" s="18">
        <f t="shared" si="4"/>
        <v>37.58614328236197</v>
      </c>
      <c r="N49" s="18">
        <f t="shared" si="5"/>
        <v>35.60792521486923</v>
      </c>
      <c r="O49" s="99">
        <f aca="true" t="shared" si="25" ref="O49:O60">IF(F49&gt;0,((1.2/(G49/100))*(0.889-0.00779*F49))/1.29*100)</f>
        <v>82.95607235142117</v>
      </c>
      <c r="P49" s="19">
        <f>$P$47*1</f>
        <v>0.0847184265595313</v>
      </c>
      <c r="Q49" s="21" t="s">
        <v>89</v>
      </c>
      <c r="R49" s="20"/>
      <c r="S49" s="17"/>
    </row>
    <row r="50" spans="2:18" ht="12" customHeight="1">
      <c r="B50" s="40" t="s">
        <v>92</v>
      </c>
      <c r="C50" s="72"/>
      <c r="D50" s="42">
        <v>90</v>
      </c>
      <c r="E50" s="42">
        <v>4</v>
      </c>
      <c r="F50" s="42">
        <v>50</v>
      </c>
      <c r="G50" s="42">
        <v>75</v>
      </c>
      <c r="H50" s="8">
        <f t="shared" si="22"/>
        <v>49.95</v>
      </c>
      <c r="I50" s="41">
        <v>0.3</v>
      </c>
      <c r="J50" s="41">
        <v>0.1</v>
      </c>
      <c r="K50" s="9">
        <f t="shared" si="17"/>
        <v>4.637261381398469</v>
      </c>
      <c r="L50" s="18">
        <f t="shared" si="3"/>
        <v>83.47070486517244</v>
      </c>
      <c r="M50" s="18">
        <f t="shared" si="4"/>
        <v>79.29716962191381</v>
      </c>
      <c r="N50" s="18">
        <f t="shared" si="5"/>
        <v>75.1236343786552</v>
      </c>
      <c r="O50" s="99">
        <f t="shared" si="25"/>
        <v>61.95348837209301</v>
      </c>
      <c r="Q50" s="21" t="s">
        <v>91</v>
      </c>
      <c r="R50" s="20"/>
    </row>
    <row r="51" spans="2:18" ht="12" customHeight="1">
      <c r="B51" s="40" t="s">
        <v>93</v>
      </c>
      <c r="C51" s="72"/>
      <c r="D51" s="42">
        <v>35</v>
      </c>
      <c r="E51" s="42">
        <v>7.5</v>
      </c>
      <c r="F51" s="42">
        <v>33</v>
      </c>
      <c r="G51" s="42">
        <v>55</v>
      </c>
      <c r="H51" s="8">
        <f t="shared" si="22"/>
        <v>63.193000000000005</v>
      </c>
      <c r="I51" s="41">
        <v>0.35</v>
      </c>
      <c r="J51" s="41">
        <v>0.15</v>
      </c>
      <c r="K51" s="9">
        <f t="shared" si="17"/>
        <v>6.055706828847323</v>
      </c>
      <c r="L51" s="18">
        <f t="shared" si="3"/>
        <v>42.389947801931264</v>
      </c>
      <c r="M51" s="18">
        <f t="shared" si="4"/>
        <v>40.2704504118347</v>
      </c>
      <c r="N51" s="18">
        <f t="shared" si="5"/>
        <v>38.15095302173814</v>
      </c>
      <c r="O51" s="99">
        <f t="shared" si="25"/>
        <v>106.88033826638477</v>
      </c>
      <c r="R51" s="20"/>
    </row>
    <row r="52" spans="2:18" ht="12" customHeight="1">
      <c r="B52" s="40" t="s">
        <v>94</v>
      </c>
      <c r="C52" s="72"/>
      <c r="D52" s="42">
        <v>35</v>
      </c>
      <c r="E52" s="42">
        <v>16</v>
      </c>
      <c r="F52" s="42">
        <v>33</v>
      </c>
      <c r="G52" s="42">
        <v>50</v>
      </c>
      <c r="H52" s="8">
        <f>88.9-F52*0.779</f>
        <v>63.193000000000005</v>
      </c>
      <c r="I52" s="41">
        <v>0.65</v>
      </c>
      <c r="J52" s="41">
        <v>0.27</v>
      </c>
      <c r="K52" s="9">
        <f t="shared" si="17"/>
        <v>6.800056989962441</v>
      </c>
      <c r="L52" s="18">
        <f t="shared" si="3"/>
        <v>47.60039892973708</v>
      </c>
      <c r="M52" s="18">
        <f t="shared" si="4"/>
        <v>45.22037898325023</v>
      </c>
      <c r="N52" s="18">
        <f t="shared" si="5"/>
        <v>42.840359036763374</v>
      </c>
      <c r="O52" s="99">
        <f t="shared" si="25"/>
        <v>117.56837209302324</v>
      </c>
      <c r="P52" s="19"/>
      <c r="R52" s="20"/>
    </row>
    <row r="53" spans="2:18" ht="12" customHeight="1">
      <c r="B53" s="40" t="s">
        <v>95</v>
      </c>
      <c r="C53" s="72"/>
      <c r="D53" s="42">
        <v>35</v>
      </c>
      <c r="E53" s="42">
        <v>15</v>
      </c>
      <c r="F53" s="42">
        <v>37</v>
      </c>
      <c r="G53" s="42">
        <v>57</v>
      </c>
      <c r="H53" s="8">
        <f>88.9-0.779*F53</f>
        <v>60.077000000000005</v>
      </c>
      <c r="I53" s="41">
        <v>0.75</v>
      </c>
      <c r="J53" s="41">
        <v>0.26</v>
      </c>
      <c r="K53" s="9">
        <f t="shared" si="17"/>
        <v>6.470779342510354</v>
      </c>
      <c r="L53" s="18">
        <f t="shared" si="3"/>
        <v>45.29545539757247</v>
      </c>
      <c r="M53" s="18">
        <f t="shared" si="4"/>
        <v>43.03068262769384</v>
      </c>
      <c r="N53" s="18">
        <f t="shared" si="5"/>
        <v>40.765909857815224</v>
      </c>
      <c r="O53" s="99">
        <f t="shared" si="25"/>
        <v>98.04487964096286</v>
      </c>
      <c r="P53" s="19"/>
      <c r="R53" s="20"/>
    </row>
    <row r="54" spans="2:39" ht="12" customHeight="1">
      <c r="B54" s="73" t="s">
        <v>96</v>
      </c>
      <c r="C54" s="74"/>
      <c r="D54" s="42">
        <v>35</v>
      </c>
      <c r="E54" s="42">
        <v>13</v>
      </c>
      <c r="F54" s="42">
        <v>34</v>
      </c>
      <c r="G54" s="42">
        <v>55</v>
      </c>
      <c r="H54" s="8">
        <f>88.9-0.779*F54</f>
        <v>62.414</v>
      </c>
      <c r="I54" s="41">
        <v>0.6</v>
      </c>
      <c r="J54" s="41">
        <v>0.23</v>
      </c>
      <c r="K54" s="9">
        <f t="shared" si="17"/>
        <v>6.481041486129431</v>
      </c>
      <c r="L54" s="18">
        <f t="shared" si="3"/>
        <v>45.36729040290601</v>
      </c>
      <c r="M54" s="18">
        <f t="shared" si="4"/>
        <v>43.0989258827607</v>
      </c>
      <c r="N54" s="18">
        <f t="shared" si="5"/>
        <v>40.830561362615406</v>
      </c>
      <c r="O54" s="99">
        <f t="shared" si="25"/>
        <v>105.5627906976744</v>
      </c>
      <c r="P54" s="9">
        <f>$P$46*$F$76+$P$47*($G$76-$F$76*0.75)+$D$23*$H$76+$D$24*$I$76</f>
        <v>8.417748500904073</v>
      </c>
      <c r="Q54" s="9">
        <f>$P$46*$F$76+$P$47*($G$76-$F$76*0.75)*0.8+$D$23*$H$76+$D$24*$I$76</f>
        <v>7.056323386092406</v>
      </c>
      <c r="R54" s="9">
        <f>$P$46*$F$76*0.85+$P$47*($G$76-$F$76*0.75)*1.15+$D$23*$H$76+$D$24*$I$76</f>
        <v>9.231541196333874</v>
      </c>
      <c r="S54" s="9">
        <f>$P$46*$F$76+$P$47*($G$76-$F$76*0.75)+$D$23*$H$76+$D$24*$I$76</f>
        <v>8.417748500904073</v>
      </c>
      <c r="T54" s="9">
        <f>$P$46*$F$76+$P$47*($G$76-$F$76*0.75)+$D$23*$H$76+$D$24*$I$76</f>
        <v>8.417748500904073</v>
      </c>
      <c r="U54" s="9">
        <v>0</v>
      </c>
      <c r="AA54" s="16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M54" s="22"/>
    </row>
    <row r="55" spans="2:21" ht="12" customHeight="1">
      <c r="B55" s="40" t="s">
        <v>97</v>
      </c>
      <c r="C55" s="72"/>
      <c r="D55" s="42">
        <v>90</v>
      </c>
      <c r="E55" s="42">
        <v>14</v>
      </c>
      <c r="F55" s="42">
        <v>35</v>
      </c>
      <c r="G55" s="42">
        <v>50</v>
      </c>
      <c r="H55" s="8">
        <f>88.9-0.779*F55</f>
        <v>61.635000000000005</v>
      </c>
      <c r="I55" s="41">
        <v>0.5</v>
      </c>
      <c r="J55" s="41">
        <v>0.23</v>
      </c>
      <c r="K55" s="9">
        <f t="shared" si="17"/>
        <v>6.472809278069948</v>
      </c>
      <c r="L55" s="18">
        <f t="shared" si="3"/>
        <v>116.51056700525908</v>
      </c>
      <c r="M55" s="18">
        <f t="shared" si="4"/>
        <v>110.68503865499612</v>
      </c>
      <c r="N55" s="18">
        <f t="shared" si="5"/>
        <v>104.85951030473318</v>
      </c>
      <c r="O55" s="99">
        <f t="shared" si="25"/>
        <v>114.66976744186046</v>
      </c>
      <c r="P55" s="9">
        <f>$P$46*$F$109+$P$47*($G$109-$F$109*0.75)+$D$23*$H$109+$D$24*$I$109</f>
        <v>0</v>
      </c>
      <c r="Q55" s="9">
        <f>$P$46*$F$109+$P$47*($G$109-$F$109*0.75)*0.8+$D$23*$H$109+$D$24*$I$109</f>
        <v>0</v>
      </c>
      <c r="R55" s="9">
        <f>$P$46*$F$109+$P$47*($G$109-$F$109*0.75)+$D$23*$H$109+$D$24*$I$109</f>
        <v>0</v>
      </c>
      <c r="S55" s="9">
        <f>$P$46*$F$109+$P$47*($G$109-$F$109*0.75)+$D$23*$H$109+$D$24*$I$109</f>
        <v>0</v>
      </c>
      <c r="T55" s="9">
        <f>$P$46*$F$109+$P$47*($G$109-$F$109*0.75)+$D$23*$H$109+$D$24*$I$109</f>
        <v>0</v>
      </c>
      <c r="U55" s="9">
        <f>$P$46*$F$109+$P$47*($G$109-$F$109*0.75)+$D$23*$H$109+$D$24*$I$109</f>
        <v>0</v>
      </c>
    </row>
    <row r="56" spans="2:19" ht="12" customHeight="1">
      <c r="B56" s="40" t="s">
        <v>98</v>
      </c>
      <c r="C56" s="72"/>
      <c r="D56" s="42">
        <v>90</v>
      </c>
      <c r="E56" s="42">
        <v>8.5</v>
      </c>
      <c r="F56" s="42">
        <v>40</v>
      </c>
      <c r="G56" s="42">
        <v>61</v>
      </c>
      <c r="H56" s="8">
        <f>88.9-0.779*F56</f>
        <v>57.74000000000001</v>
      </c>
      <c r="I56" s="41">
        <v>0.64</v>
      </c>
      <c r="J56" s="41">
        <v>0.23</v>
      </c>
      <c r="K56" s="9">
        <f t="shared" si="17"/>
        <v>5.7670254763896995</v>
      </c>
      <c r="L56" s="18">
        <f t="shared" si="3"/>
        <v>103.80645857501459</v>
      </c>
      <c r="M56" s="18">
        <f t="shared" si="4"/>
        <v>98.61613564626386</v>
      </c>
      <c r="N56" s="18">
        <f t="shared" si="5"/>
        <v>93.42581271751312</v>
      </c>
      <c r="O56" s="99">
        <f t="shared" si="25"/>
        <v>88.05184902783071</v>
      </c>
      <c r="P56" s="9">
        <f>P54*0.85*0.56</f>
        <v>4.00684828643034</v>
      </c>
      <c r="Q56" s="9">
        <f>Q54*0.85*0.56</f>
        <v>3.358809931779985</v>
      </c>
      <c r="R56" s="9">
        <f>R54*0.85*0.56</f>
        <v>4.3942136094549245</v>
      </c>
      <c r="S56" s="9">
        <f>S54*0.85*0.56</f>
        <v>4.00684828643034</v>
      </c>
    </row>
    <row r="57" spans="2:39" ht="12" customHeight="1">
      <c r="B57" s="73" t="s">
        <v>96</v>
      </c>
      <c r="C57" s="74"/>
      <c r="D57" s="42">
        <v>35</v>
      </c>
      <c r="E57" s="42">
        <v>13</v>
      </c>
      <c r="F57" s="42">
        <v>34</v>
      </c>
      <c r="G57" s="42">
        <v>55</v>
      </c>
      <c r="H57" s="8">
        <f>88.9-0.779*F57</f>
        <v>62.414</v>
      </c>
      <c r="I57" s="41">
        <v>0.6</v>
      </c>
      <c r="J57" s="41">
        <v>0.23</v>
      </c>
      <c r="K57" s="9">
        <f>E57*$P$46+((88.9-0.779*F57)-E57*0.75)*$P$47+I57*$D$23+J57*$D$24</f>
        <v>6.481041486129431</v>
      </c>
      <c r="L57" s="18">
        <f>K57*20*D57*0.01*(1-$L$30*0.01)</f>
        <v>45.36729040290601</v>
      </c>
      <c r="M57" s="18">
        <f>K57*20*D57*0.01*(1-$M$30*0.01)</f>
        <v>43.0989258827607</v>
      </c>
      <c r="N57" s="18">
        <f>K57*20*D57*0.01*(1-$N$30*0.01)</f>
        <v>40.830561362615406</v>
      </c>
      <c r="O57" s="99">
        <f>IF(F57&gt;0,((1.2/(G57/100))*(0.889-0.00779*F57))/1.29*100)</f>
        <v>105.5627906976744</v>
      </c>
      <c r="P57" s="9">
        <f>$P$46*$F$76+$P$47*($G$76-$F$76*0.75)+$D$23*$H$76+$D$24*$I$76</f>
        <v>8.417748500904073</v>
      </c>
      <c r="Q57" s="9">
        <f>$P$46*$F$76+$P$47*($G$76-$F$76*0.75)*0.8+$D$23*$H$76+$D$24*$I$76</f>
        <v>7.056323386092406</v>
      </c>
      <c r="R57" s="9">
        <f>$P$46*$F$76*0.85+$P$47*($G$76-$F$76*0.75)*1.15+$D$23*$H$76+$D$24*$I$76</f>
        <v>9.231541196333874</v>
      </c>
      <c r="S57" s="9">
        <f>$P$46*$F$76+$P$47*($G$76-$F$76*0.75)+$D$23*$H$76+$D$24*$I$76</f>
        <v>8.417748500904073</v>
      </c>
      <c r="T57" s="9">
        <f>$P$46*$F$76+$P$47*($G$76-$F$76*0.75)+$D$23*$H$76+$D$24*$I$76</f>
        <v>8.417748500904073</v>
      </c>
      <c r="U57" s="9">
        <v>0</v>
      </c>
      <c r="AA57" s="16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M57" s="22"/>
    </row>
    <row r="58" spans="2:21" ht="12" customHeight="1">
      <c r="B58" s="40" t="s">
        <v>97</v>
      </c>
      <c r="C58" s="72"/>
      <c r="D58" s="42">
        <v>90</v>
      </c>
      <c r="E58" s="42">
        <v>14</v>
      </c>
      <c r="F58" s="42">
        <v>35</v>
      </c>
      <c r="G58" s="42">
        <v>50</v>
      </c>
      <c r="H58" s="8">
        <f>88.9-0.779*F58</f>
        <v>61.635000000000005</v>
      </c>
      <c r="I58" s="41">
        <v>0.5</v>
      </c>
      <c r="J58" s="41">
        <v>0.23</v>
      </c>
      <c r="K58" s="9">
        <f>E58*$P$46+((88.9-0.779*F58)-E58*0.75)*$P$47+I58*$D$23+J58*$D$24</f>
        <v>6.472809278069948</v>
      </c>
      <c r="L58" s="18">
        <f>K58*20*D58*0.01*(1-$L$30*0.01)</f>
        <v>116.51056700525908</v>
      </c>
      <c r="M58" s="18">
        <f>K58*20*D58*0.01*(1-$M$30*0.01)</f>
        <v>110.68503865499612</v>
      </c>
      <c r="N58" s="18">
        <f>K58*20*D58*0.01*(1-$N$30*0.01)</f>
        <v>104.85951030473318</v>
      </c>
      <c r="O58" s="99">
        <f>IF(F58&gt;0,((1.2/(G58/100))*(0.889-0.00779*F58))/1.29*100)</f>
        <v>114.66976744186046</v>
      </c>
      <c r="P58" s="9">
        <f>$P$46*$F$109+$P$47*($G$109-$F$109*0.75)+$D$23*$H$109+$D$24*$I$109</f>
        <v>0</v>
      </c>
      <c r="Q58" s="9">
        <f>$P$46*$F$109+$P$47*($G$109-$F$109*0.75)*0.8+$D$23*$H$109+$D$24*$I$109</f>
        <v>0</v>
      </c>
      <c r="R58" s="9">
        <f>$P$46*$F$109+$P$47*($G$109-$F$109*0.75)+$D$23*$H$109+$D$24*$I$109</f>
        <v>0</v>
      </c>
      <c r="S58" s="9">
        <f>$P$46*$F$109+$P$47*($G$109-$F$109*0.75)+$D$23*$H$109+$D$24*$I$109</f>
        <v>0</v>
      </c>
      <c r="T58" s="9">
        <f>$P$46*$F$109+$P$47*($G$109-$F$109*0.75)+$D$23*$H$109+$D$24*$I$109</f>
        <v>0</v>
      </c>
      <c r="U58" s="9">
        <f>$P$46*$F$109+$P$47*($G$109-$F$109*0.75)+$D$23*$H$109+$D$24*$I$109</f>
        <v>0</v>
      </c>
    </row>
    <row r="59" spans="2:19" ht="12" customHeight="1">
      <c r="B59" s="40" t="s">
        <v>98</v>
      </c>
      <c r="C59" s="72"/>
      <c r="D59" s="42">
        <v>90</v>
      </c>
      <c r="E59" s="42">
        <v>8.5</v>
      </c>
      <c r="F59" s="42">
        <v>40</v>
      </c>
      <c r="G59" s="42">
        <v>61</v>
      </c>
      <c r="H59" s="8">
        <f>88.9-0.779*F59</f>
        <v>57.74000000000001</v>
      </c>
      <c r="I59" s="41">
        <v>0.64</v>
      </c>
      <c r="J59" s="41">
        <v>0.23</v>
      </c>
      <c r="K59" s="9">
        <f>E59*$P$46+((88.9-0.779*F59)-E59*0.75)*$P$47+I59*$D$23+J59*$D$24</f>
        <v>5.7670254763896995</v>
      </c>
      <c r="L59" s="18">
        <f>K59*20*D59*0.01*(1-$L$30*0.01)</f>
        <v>103.80645857501459</v>
      </c>
      <c r="M59" s="18">
        <f>K59*20*D59*0.01*(1-$M$30*0.01)</f>
        <v>98.61613564626386</v>
      </c>
      <c r="N59" s="18">
        <f>K59*20*D59*0.01*(1-$N$30*0.01)</f>
        <v>93.42581271751312</v>
      </c>
      <c r="O59" s="99">
        <f>IF(F59&gt;0,((1.2/(G59/100))*(0.889-0.00779*F59))/1.29*100)</f>
        <v>88.05184902783071</v>
      </c>
      <c r="P59" s="9">
        <f>P57*0.85*0.56</f>
        <v>4.00684828643034</v>
      </c>
      <c r="Q59" s="9">
        <f>Q57*0.85*0.56</f>
        <v>3.358809931779985</v>
      </c>
      <c r="R59" s="9">
        <f>R57*0.85*0.56</f>
        <v>4.3942136094549245</v>
      </c>
      <c r="S59" s="9">
        <f>S57*0.85*0.56</f>
        <v>4.00684828643034</v>
      </c>
    </row>
    <row r="60" spans="2:20" ht="12" customHeight="1">
      <c r="B60" s="40"/>
      <c r="C60" s="72"/>
      <c r="D60" s="42"/>
      <c r="E60" s="42"/>
      <c r="F60" s="42"/>
      <c r="G60" s="42"/>
      <c r="H60" s="8"/>
      <c r="I60" s="41"/>
      <c r="J60" s="41"/>
      <c r="K60" s="9">
        <f t="shared" si="17"/>
        <v>7.531468121142333</v>
      </c>
      <c r="L60" s="18">
        <f t="shared" si="3"/>
        <v>0</v>
      </c>
      <c r="M60" s="18">
        <f t="shared" si="4"/>
        <v>0</v>
      </c>
      <c r="N60" s="18">
        <f t="shared" si="5"/>
        <v>0</v>
      </c>
      <c r="O60" s="99" t="b">
        <f t="shared" si="25"/>
        <v>0</v>
      </c>
      <c r="P60" s="9">
        <f>P55*$E$109*0.01*20</f>
        <v>0</v>
      </c>
      <c r="Q60" s="9">
        <f>Q55*$E$109*0.01*20</f>
        <v>0</v>
      </c>
      <c r="R60" s="9">
        <f>R55*$E$109*0.01*20</f>
        <v>0</v>
      </c>
      <c r="S60" s="9">
        <f>S55*$E$109*0.01*20</f>
        <v>0</v>
      </c>
      <c r="T60" s="9">
        <f>T55*$E$109*0.01*20</f>
        <v>0</v>
      </c>
    </row>
    <row r="61" spans="2:15" ht="12" customHeight="1">
      <c r="B61" s="40"/>
      <c r="C61" s="72"/>
      <c r="D61" s="42"/>
      <c r="E61" s="42"/>
      <c r="F61" s="42"/>
      <c r="G61" s="42"/>
      <c r="H61" s="8"/>
      <c r="I61" s="41"/>
      <c r="J61" s="41"/>
      <c r="K61" s="9">
        <f>IF(D61&gt;0,E61*$P$46+((88.9-0.779*F61)-E61*0.75)*$P$47+I61*$D$23+J61*$D$24,0)</f>
        <v>0</v>
      </c>
      <c r="L61" s="18">
        <f t="shared" si="3"/>
        <v>0</v>
      </c>
      <c r="M61" s="18">
        <f t="shared" si="4"/>
        <v>0</v>
      </c>
      <c r="N61" s="18">
        <f t="shared" si="5"/>
        <v>0</v>
      </c>
      <c r="O61" s="99" t="b">
        <f>IF(F61&gt;0,((1.2/(G61/100))*(0.889-0.00779*F61))/1.29*100)</f>
        <v>0</v>
      </c>
    </row>
    <row r="62" spans="2:15" ht="12" customHeight="1">
      <c r="B62" s="40" t="s">
        <v>139</v>
      </c>
      <c r="C62" s="72"/>
      <c r="D62" s="42">
        <v>75</v>
      </c>
      <c r="E62" s="130">
        <v>6.8</v>
      </c>
      <c r="F62" s="130">
        <v>31.7</v>
      </c>
      <c r="G62" s="130">
        <v>52.9</v>
      </c>
      <c r="H62" s="130">
        <v>70</v>
      </c>
      <c r="I62" s="130">
        <v>0.23</v>
      </c>
      <c r="J62" s="130">
        <v>0.26</v>
      </c>
      <c r="K62" s="9">
        <f>IF(D62&gt;0,E62*$P$46+((88.9-0.779*F62)-E62*0.75)*$P$47+I62*$D$23+J62*$D$24,0)</f>
        <v>6.156986754105323</v>
      </c>
      <c r="L62" s="18">
        <f>K62*20*D62*0.01*(1-$L$30*0.01)</f>
        <v>92.35480131157985</v>
      </c>
      <c r="M62" s="18">
        <f>K62*20*D62*0.01*(1-$M$30*0.01)</f>
        <v>87.73706124600085</v>
      </c>
      <c r="N62" s="18">
        <f>K62*20*D62*0.01*(1-$N$30*0.01)</f>
        <v>83.11932118042186</v>
      </c>
      <c r="O62" s="99">
        <f>IF(F62&gt;0,((1.2/(G62/100))*(0.889-0.00779*F62))/1.29*100)</f>
        <v>112.90403130083087</v>
      </c>
    </row>
    <row r="63" spans="2:15" ht="12" customHeight="1">
      <c r="B63" s="40" t="s">
        <v>140</v>
      </c>
      <c r="C63" s="72"/>
      <c r="D63" s="42">
        <v>60.5</v>
      </c>
      <c r="E63" s="42">
        <v>14.4</v>
      </c>
      <c r="F63" s="42">
        <v>37.8</v>
      </c>
      <c r="G63" s="42">
        <v>57.7</v>
      </c>
      <c r="H63" s="8">
        <v>64</v>
      </c>
      <c r="I63" s="41">
        <v>0.93</v>
      </c>
      <c r="J63" s="41">
        <v>0.28</v>
      </c>
      <c r="K63" s="9">
        <f>IF(D63&gt;0,E63*$P$46+((88.9-0.779*F63)-E63*0.75)*$P$47+I63*$D$23+J63*$D$24,0)</f>
        <v>6.4153947221857</v>
      </c>
      <c r="L63" s="18">
        <f>K63*20*D63*0.01*(1-$L$30*0.01)</f>
        <v>77.62627613844697</v>
      </c>
      <c r="M63" s="18">
        <f>K63*20*D63*0.01*(1-$M$30*0.01)</f>
        <v>73.74496233152462</v>
      </c>
      <c r="N63" s="18">
        <f>K63*20*D63*0.01*(1-$N$30*0.01)</f>
        <v>69.86364852460227</v>
      </c>
      <c r="O63" s="99">
        <f>IF(F63&gt;0,((1.2/(G63/100))*(0.889-0.00779*F63))/1.29*100)</f>
        <v>95.8507113780178</v>
      </c>
    </row>
    <row r="64" spans="2:15" ht="12" customHeight="1">
      <c r="B64" s="40" t="s">
        <v>141</v>
      </c>
      <c r="C64" s="72"/>
      <c r="D64" s="42">
        <v>70.1</v>
      </c>
      <c r="E64" s="42">
        <v>20.3</v>
      </c>
      <c r="F64" s="42">
        <v>35.9</v>
      </c>
      <c r="G64" s="42">
        <v>48.5</v>
      </c>
      <c r="H64" s="8">
        <v>62</v>
      </c>
      <c r="I64" s="41">
        <v>1.01</v>
      </c>
      <c r="J64" s="41">
        <v>0.35</v>
      </c>
      <c r="K64" s="9">
        <f>IF(D64&gt;0,E64*$P$46+((88.9-0.779*F64)-E64*0.75)*$P$47+I64*$D$23+J64*$D$24,0)</f>
        <v>7.029266535057227</v>
      </c>
      <c r="L64" s="18">
        <f>K64*20*D64*0.01*(1-$L$30*0.01)</f>
        <v>98.5503168215023</v>
      </c>
      <c r="M64" s="18">
        <f>K64*20*D64*0.01*(1-$M$30*0.01)</f>
        <v>93.62280098042719</v>
      </c>
      <c r="N64" s="18">
        <f>K64*20*D64*0.01*(1-$N$30*0.01)</f>
        <v>88.69528513935208</v>
      </c>
      <c r="O64" s="99">
        <f>IF(F64&gt;0,((1.2/(G64/100))*(0.889-0.00779*F64))/1.29*100)</f>
        <v>116.8715415967394</v>
      </c>
    </row>
    <row r="65" spans="2:15" ht="12" customHeight="1">
      <c r="B65" s="40"/>
      <c r="C65" s="72"/>
      <c r="D65" s="42"/>
      <c r="E65" s="42"/>
      <c r="F65" s="42"/>
      <c r="G65" s="42"/>
      <c r="H65" s="8"/>
      <c r="I65" s="41"/>
      <c r="J65" s="41"/>
      <c r="K65" s="9"/>
      <c r="L65" s="18"/>
      <c r="M65" s="18"/>
      <c r="N65" s="18"/>
      <c r="O65" s="99"/>
    </row>
    <row r="66" ht="12" customHeight="1"/>
    <row r="67" ht="12" customHeight="1"/>
    <row r="68" ht="12" customHeight="1"/>
    <row r="69" spans="1:14" ht="12" customHeight="1">
      <c r="A69" s="26"/>
      <c r="B69" s="27"/>
      <c r="C69" s="27"/>
      <c r="D69" s="27"/>
      <c r="E69" s="65"/>
      <c r="F69" s="66"/>
      <c r="G69" s="66"/>
      <c r="H69" s="66"/>
      <c r="I69" s="66"/>
      <c r="J69" s="69" t="s">
        <v>53</v>
      </c>
      <c r="K69" s="69" t="s">
        <v>99</v>
      </c>
      <c r="L69" s="89" t="s">
        <v>54</v>
      </c>
      <c r="M69" s="60"/>
      <c r="N69" s="61"/>
    </row>
    <row r="70" spans="1:20" ht="12" customHeight="1">
      <c r="A70" s="29"/>
      <c r="B70" s="55" t="s">
        <v>100</v>
      </c>
      <c r="C70" s="62"/>
      <c r="D70" s="32"/>
      <c r="E70" s="67" t="s">
        <v>55</v>
      </c>
      <c r="F70" s="67" t="s">
        <v>56</v>
      </c>
      <c r="G70" s="67" t="s">
        <v>59</v>
      </c>
      <c r="H70" s="67" t="s">
        <v>60</v>
      </c>
      <c r="I70" s="67" t="s">
        <v>61</v>
      </c>
      <c r="J70" s="70" t="s">
        <v>62</v>
      </c>
      <c r="K70" s="95" t="s">
        <v>101</v>
      </c>
      <c r="L70" s="55" t="s">
        <v>63</v>
      </c>
      <c r="M70" s="56"/>
      <c r="N70" s="63"/>
      <c r="P70" s="8"/>
      <c r="Q70" s="8"/>
      <c r="R70" s="8"/>
      <c r="S70" s="8"/>
      <c r="T70" s="13"/>
    </row>
    <row r="71" spans="1:18" ht="12" customHeight="1">
      <c r="A71" s="34"/>
      <c r="B71" s="57" t="s">
        <v>102</v>
      </c>
      <c r="C71" s="64"/>
      <c r="D71" s="35"/>
      <c r="E71" s="68" t="s">
        <v>67</v>
      </c>
      <c r="F71" s="68" t="s">
        <v>67</v>
      </c>
      <c r="G71" s="68" t="s">
        <v>67</v>
      </c>
      <c r="H71" s="68" t="s">
        <v>67</v>
      </c>
      <c r="I71" s="68" t="s">
        <v>67</v>
      </c>
      <c r="J71" s="68" t="s">
        <v>68</v>
      </c>
      <c r="K71" s="96" t="s">
        <v>103</v>
      </c>
      <c r="L71" s="71">
        <v>0</v>
      </c>
      <c r="M71" s="71">
        <v>3</v>
      </c>
      <c r="N71" s="71">
        <v>6</v>
      </c>
      <c r="P71" s="8"/>
      <c r="Q71" s="8"/>
      <c r="R71" s="13"/>
    </row>
    <row r="72" ht="12" customHeight="1">
      <c r="R72" s="23"/>
    </row>
    <row r="73" spans="4:6" ht="12" customHeight="1">
      <c r="D73"/>
      <c r="F73" s="1" t="s">
        <v>71</v>
      </c>
    </row>
    <row r="74" spans="2:18" ht="12" customHeight="1">
      <c r="B74" s="40" t="s">
        <v>104</v>
      </c>
      <c r="C74" s="72"/>
      <c r="D74" s="72"/>
      <c r="E74" s="42">
        <v>89</v>
      </c>
      <c r="F74" s="42">
        <v>13.9</v>
      </c>
      <c r="G74" s="42">
        <v>83</v>
      </c>
      <c r="H74" s="41">
        <v>0.05</v>
      </c>
      <c r="I74" s="41">
        <v>0.37</v>
      </c>
      <c r="J74" s="9">
        <f aca="true" t="shared" si="26" ref="J74:J81">$P$46*F74+$P$47*(G74-F74*0.75)+$D$23*H74+$D$24*I74</f>
        <v>8.31729154999787</v>
      </c>
      <c r="K74" s="9">
        <f>J74*E74/100</f>
        <v>7.402389479498105</v>
      </c>
      <c r="L74" s="18">
        <f aca="true" t="shared" si="27" ref="L74:L118">K74*20*(1-$L$71*0.01)</f>
        <v>148.0477895899621</v>
      </c>
      <c r="M74" s="18">
        <f aca="true" t="shared" si="28" ref="M74:M118">L74*(1-$M$71*0.01)</f>
        <v>143.60635590226323</v>
      </c>
      <c r="N74" s="18">
        <f aca="true" t="shared" si="29" ref="N74:N118">L74*(1-$N$71*0.01)</f>
        <v>139.16492221456437</v>
      </c>
      <c r="P74" s="4"/>
      <c r="Q74" s="4"/>
      <c r="R74" s="23"/>
    </row>
    <row r="75" spans="2:18" ht="12" customHeight="1">
      <c r="B75" s="40" t="s">
        <v>105</v>
      </c>
      <c r="C75" s="72"/>
      <c r="D75" s="43"/>
      <c r="E75" s="42">
        <v>90</v>
      </c>
      <c r="F75" s="42">
        <v>25.4</v>
      </c>
      <c r="G75" s="42">
        <v>83</v>
      </c>
      <c r="H75" s="41">
        <v>0.29</v>
      </c>
      <c r="I75" s="41">
        <v>0.54</v>
      </c>
      <c r="J75" s="9">
        <f t="shared" si="26"/>
        <v>9.306603575557324</v>
      </c>
      <c r="K75" s="9">
        <f>J75*E75/100</f>
        <v>8.375943218001591</v>
      </c>
      <c r="L75" s="18">
        <f t="shared" si="27"/>
        <v>167.51886436003184</v>
      </c>
      <c r="M75" s="18">
        <f t="shared" si="28"/>
        <v>162.4932984292309</v>
      </c>
      <c r="N75" s="18">
        <f t="shared" si="29"/>
        <v>157.4677324984299</v>
      </c>
      <c r="P75" s="13"/>
      <c r="Q75" s="13"/>
      <c r="R75" s="23"/>
    </row>
    <row r="76" spans="2:18" ht="12" customHeight="1">
      <c r="B76" s="40" t="s">
        <v>106</v>
      </c>
      <c r="C76" s="72"/>
      <c r="D76" s="72"/>
      <c r="E76" s="42">
        <v>85</v>
      </c>
      <c r="F76" s="42">
        <v>10.2</v>
      </c>
      <c r="G76" s="42">
        <v>88</v>
      </c>
      <c r="H76" s="41">
        <v>0.02</v>
      </c>
      <c r="I76" s="41">
        <v>0.3</v>
      </c>
      <c r="J76" s="9">
        <f t="shared" si="26"/>
        <v>8.417748500904073</v>
      </c>
      <c r="K76" s="9">
        <f>J76*E76/100</f>
        <v>7.155086225768462</v>
      </c>
      <c r="L76" s="18">
        <f t="shared" si="27"/>
        <v>143.10172451536926</v>
      </c>
      <c r="M76" s="18">
        <f t="shared" si="28"/>
        <v>138.80867277990816</v>
      </c>
      <c r="N76" s="18">
        <f>L76*(1-$N$71*0.01)</f>
        <v>134.5156210444471</v>
      </c>
      <c r="P76" s="13"/>
      <c r="Q76" s="13"/>
      <c r="R76" s="23"/>
    </row>
    <row r="77" spans="2:14" ht="12" customHeight="1">
      <c r="B77" s="40" t="s">
        <v>107</v>
      </c>
      <c r="C77" s="72"/>
      <c r="D77" s="72"/>
      <c r="E77" s="42">
        <v>70</v>
      </c>
      <c r="F77" s="42">
        <v>10.2</v>
      </c>
      <c r="G77" s="42">
        <v>88</v>
      </c>
      <c r="H77" s="41">
        <v>0.02</v>
      </c>
      <c r="I77" s="41">
        <v>0.3</v>
      </c>
      <c r="J77" s="9">
        <f t="shared" si="26"/>
        <v>8.417748500904073</v>
      </c>
      <c r="K77" s="9">
        <f>J77*E77/100</f>
        <v>5.892423950632851</v>
      </c>
      <c r="L77" s="18">
        <f t="shared" si="27"/>
        <v>117.84847901265701</v>
      </c>
      <c r="M77" s="18">
        <f t="shared" si="28"/>
        <v>114.3130246422773</v>
      </c>
      <c r="N77" s="18">
        <f>L77*(1-$N$71*0.01)</f>
        <v>110.77757027189759</v>
      </c>
    </row>
    <row r="78" spans="2:18" ht="12" customHeight="1">
      <c r="B78" s="40" t="s">
        <v>108</v>
      </c>
      <c r="C78" s="72"/>
      <c r="D78" s="43"/>
      <c r="E78" s="42">
        <v>90</v>
      </c>
      <c r="F78" s="42">
        <v>3</v>
      </c>
      <c r="G78" s="42">
        <v>50</v>
      </c>
      <c r="H78" s="41">
        <v>0.1</v>
      </c>
      <c r="I78" s="41">
        <v>0.15</v>
      </c>
      <c r="J78" s="9">
        <f t="shared" si="26"/>
        <v>4.5788747700043135</v>
      </c>
      <c r="K78" s="9">
        <f aca="true" t="shared" si="30" ref="K78:K118">J78*E78/100</f>
        <v>4.120987293003882</v>
      </c>
      <c r="L78" s="18">
        <f t="shared" si="27"/>
        <v>82.41974586007764</v>
      </c>
      <c r="M78" s="18">
        <f t="shared" si="28"/>
        <v>79.9471534842753</v>
      </c>
      <c r="N78" s="18">
        <f t="shared" si="29"/>
        <v>77.47456110847298</v>
      </c>
      <c r="P78" s="13"/>
      <c r="Q78" s="13"/>
      <c r="R78" s="23"/>
    </row>
    <row r="79" spans="2:16" ht="12" customHeight="1">
      <c r="B79" s="40" t="s">
        <v>109</v>
      </c>
      <c r="C79" s="72"/>
      <c r="D79" s="72"/>
      <c r="E79" s="42">
        <v>85</v>
      </c>
      <c r="F79" s="42">
        <v>9.3</v>
      </c>
      <c r="G79" s="42">
        <v>84</v>
      </c>
      <c r="H79" s="41">
        <v>0.04</v>
      </c>
      <c r="I79" s="41">
        <v>0.26</v>
      </c>
      <c r="J79" s="9">
        <f t="shared" si="26"/>
        <v>7.986840721889177</v>
      </c>
      <c r="K79" s="9">
        <f t="shared" si="30"/>
        <v>6.7888146136058</v>
      </c>
      <c r="L79" s="18">
        <f t="shared" si="27"/>
        <v>135.776292272116</v>
      </c>
      <c r="M79" s="18">
        <f t="shared" si="28"/>
        <v>131.70300350395252</v>
      </c>
      <c r="N79" s="18">
        <f t="shared" si="29"/>
        <v>127.62971473578902</v>
      </c>
      <c r="P79" s="13"/>
    </row>
    <row r="80" spans="2:18" ht="12" customHeight="1">
      <c r="B80" s="40" t="s">
        <v>110</v>
      </c>
      <c r="C80" s="72"/>
      <c r="D80" s="72"/>
      <c r="E80" s="42">
        <v>65</v>
      </c>
      <c r="F80" s="42">
        <v>9.3</v>
      </c>
      <c r="G80" s="42">
        <v>84</v>
      </c>
      <c r="H80" s="41">
        <v>0.04</v>
      </c>
      <c r="I80" s="41">
        <v>0.26</v>
      </c>
      <c r="J80" s="9">
        <f t="shared" si="26"/>
        <v>7.986840721889177</v>
      </c>
      <c r="K80" s="9">
        <f t="shared" si="30"/>
        <v>5.191446469227965</v>
      </c>
      <c r="L80" s="18">
        <f t="shared" si="27"/>
        <v>103.8289293845593</v>
      </c>
      <c r="M80" s="18">
        <f t="shared" si="28"/>
        <v>100.71406150302252</v>
      </c>
      <c r="N80" s="18">
        <f t="shared" si="29"/>
        <v>97.59919362148574</v>
      </c>
      <c r="P80" s="13"/>
      <c r="Q80" s="13"/>
      <c r="R80" s="23"/>
    </row>
    <row r="81" spans="2:18" ht="12" customHeight="1">
      <c r="B81" s="73" t="s">
        <v>111</v>
      </c>
      <c r="C81" s="74"/>
      <c r="D81" s="74"/>
      <c r="E81" s="42">
        <v>89</v>
      </c>
      <c r="F81" s="42">
        <v>40.5</v>
      </c>
      <c r="G81" s="42">
        <f>66/0.89</f>
        <v>74.15730337078652</v>
      </c>
      <c r="H81" s="41">
        <v>0.38</v>
      </c>
      <c r="I81" s="41">
        <v>1.1</v>
      </c>
      <c r="J81" s="9">
        <f t="shared" si="26"/>
        <v>10.07821834576351</v>
      </c>
      <c r="K81" s="9">
        <f t="shared" si="30"/>
        <v>8.969614327729523</v>
      </c>
      <c r="L81" s="18">
        <f t="shared" si="27"/>
        <v>179.39228655459047</v>
      </c>
      <c r="M81" s="18">
        <f t="shared" si="28"/>
        <v>174.01051795795274</v>
      </c>
      <c r="N81" s="18">
        <f t="shared" si="29"/>
        <v>168.62874936131504</v>
      </c>
      <c r="Q81" s="13"/>
      <c r="R81" s="13"/>
    </row>
    <row r="82" spans="2:18" ht="12" customHeight="1">
      <c r="B82" s="40" t="s">
        <v>112</v>
      </c>
      <c r="C82" s="72"/>
      <c r="D82" s="72"/>
      <c r="E82" s="42">
        <v>92</v>
      </c>
      <c r="F82" s="42">
        <v>66.7</v>
      </c>
      <c r="G82" s="42">
        <v>69</v>
      </c>
      <c r="H82" s="41">
        <v>5.6</v>
      </c>
      <c r="I82" s="41">
        <v>3.16</v>
      </c>
      <c r="J82" s="9">
        <f>$P$46*$F$76+$P$47*($G$76-$F$76*0.75)+$D$23*$H$76+$D$24*$I$76</f>
        <v>8.417748500904073</v>
      </c>
      <c r="K82" s="9">
        <f>J82*E76/100</f>
        <v>7.155086225768462</v>
      </c>
      <c r="L82" s="18">
        <f t="shared" si="27"/>
        <v>143.10172451536926</v>
      </c>
      <c r="M82" s="18">
        <f t="shared" si="28"/>
        <v>138.80867277990816</v>
      </c>
      <c r="N82" s="18">
        <f t="shared" si="29"/>
        <v>134.5156210444471</v>
      </c>
      <c r="Q82" s="13"/>
      <c r="R82" s="13"/>
    </row>
    <row r="83" spans="2:20" ht="12" customHeight="1">
      <c r="B83" s="40" t="s">
        <v>113</v>
      </c>
      <c r="C83" s="72"/>
      <c r="D83" s="72"/>
      <c r="E83" s="42">
        <v>90</v>
      </c>
      <c r="F83" s="42">
        <v>9</v>
      </c>
      <c r="G83" s="42">
        <v>86</v>
      </c>
      <c r="H83" s="41">
        <v>0.02</v>
      </c>
      <c r="I83" s="41">
        <v>0.3</v>
      </c>
      <c r="J83" s="9">
        <f>$P$46*F77+$P$47*(G77-F77*0.75)+$D$23*H77+$D$24*I77</f>
        <v>8.417748500904073</v>
      </c>
      <c r="K83" s="9">
        <f>J83*E77/100</f>
        <v>5.892423950632851</v>
      </c>
      <c r="L83" s="18">
        <f t="shared" si="27"/>
        <v>117.84847901265701</v>
      </c>
      <c r="M83" s="18">
        <f t="shared" si="28"/>
        <v>114.3130246422773</v>
      </c>
      <c r="N83" s="18">
        <f t="shared" si="29"/>
        <v>110.77757027189759</v>
      </c>
      <c r="P83" s="13"/>
      <c r="Q83" s="13"/>
      <c r="S83" s="13"/>
      <c r="T83" s="23"/>
    </row>
    <row r="84" spans="2:14" ht="12" customHeight="1">
      <c r="B84" s="73" t="s">
        <v>114</v>
      </c>
      <c r="C84" s="74"/>
      <c r="D84" s="74"/>
      <c r="E84" s="42">
        <v>90</v>
      </c>
      <c r="F84" s="42">
        <v>12</v>
      </c>
      <c r="G84" s="42">
        <v>72</v>
      </c>
      <c r="H84" s="41">
        <v>0.1</v>
      </c>
      <c r="I84" s="41">
        <v>0.25</v>
      </c>
      <c r="J84" s="9">
        <f aca="true" t="shared" si="31" ref="J84:J108">$P$46*F84+$P$47*(G84-F84*0.75)+$D$23*H84+$D$24*I84</f>
        <v>7.165418031417656</v>
      </c>
      <c r="K84" s="9">
        <f t="shared" si="30"/>
        <v>6.44887622827589</v>
      </c>
      <c r="L84" s="18">
        <f t="shared" si="27"/>
        <v>128.9775245655178</v>
      </c>
      <c r="M84" s="18">
        <f t="shared" si="28"/>
        <v>125.10819882855226</v>
      </c>
      <c r="N84" s="18">
        <f t="shared" si="29"/>
        <v>121.23887309158673</v>
      </c>
    </row>
    <row r="85" spans="2:14" ht="12" customHeight="1">
      <c r="B85" s="40" t="s">
        <v>115</v>
      </c>
      <c r="C85" s="72"/>
      <c r="D85" s="72"/>
      <c r="E85" s="42">
        <v>89</v>
      </c>
      <c r="F85" s="42">
        <v>12.5</v>
      </c>
      <c r="G85" s="42">
        <v>76</v>
      </c>
      <c r="H85" s="41">
        <v>0.1</v>
      </c>
      <c r="I85" s="41">
        <v>0.32</v>
      </c>
      <c r="J85" s="9">
        <f t="shared" si="31"/>
        <v>7.592980717006806</v>
      </c>
      <c r="K85" s="9">
        <f t="shared" si="30"/>
        <v>6.757752838136057</v>
      </c>
      <c r="L85" s="18">
        <f t="shared" si="27"/>
        <v>135.15505676272116</v>
      </c>
      <c r="M85" s="18">
        <f t="shared" si="28"/>
        <v>131.10040505983952</v>
      </c>
      <c r="N85" s="18">
        <f t="shared" si="29"/>
        <v>127.04575335695789</v>
      </c>
    </row>
    <row r="86" spans="2:20" ht="12" customHeight="1">
      <c r="B86" s="40" t="s">
        <v>116</v>
      </c>
      <c r="C86" s="72"/>
      <c r="D86" s="72"/>
      <c r="E86" s="42">
        <v>89</v>
      </c>
      <c r="F86" s="42">
        <v>13.6</v>
      </c>
      <c r="G86" s="42">
        <v>80</v>
      </c>
      <c r="H86" s="41">
        <v>0.1</v>
      </c>
      <c r="I86" s="41">
        <v>0.32</v>
      </c>
      <c r="J86" s="9">
        <f t="shared" si="31"/>
        <v>8.01098378325936</v>
      </c>
      <c r="K86" s="9">
        <f t="shared" si="30"/>
        <v>7.12977556710083</v>
      </c>
      <c r="L86" s="18">
        <f t="shared" si="27"/>
        <v>142.5955113420166</v>
      </c>
      <c r="M86" s="18">
        <f t="shared" si="28"/>
        <v>138.31764600175612</v>
      </c>
      <c r="N86" s="18">
        <f t="shared" si="29"/>
        <v>134.0397806614956</v>
      </c>
      <c r="P86" s="13"/>
      <c r="Q86" s="13"/>
      <c r="S86" s="13"/>
      <c r="T86" s="23"/>
    </row>
    <row r="87" spans="2:20" ht="12" customHeight="1">
      <c r="B87" s="40" t="s">
        <v>117</v>
      </c>
      <c r="C87" s="72"/>
      <c r="D87" s="72"/>
      <c r="E87" s="42">
        <v>90</v>
      </c>
      <c r="F87" s="42">
        <v>12.5</v>
      </c>
      <c r="G87" s="42">
        <v>78</v>
      </c>
      <c r="H87" s="41">
        <v>0.2</v>
      </c>
      <c r="I87" s="41">
        <v>0.4</v>
      </c>
      <c r="J87" s="9">
        <f t="shared" si="31"/>
        <v>7.836842578224346</v>
      </c>
      <c r="K87" s="9">
        <f t="shared" si="30"/>
        <v>7.053158320401911</v>
      </c>
      <c r="L87" s="18">
        <f t="shared" si="27"/>
        <v>141.06316640803823</v>
      </c>
      <c r="M87" s="18">
        <f t="shared" si="28"/>
        <v>136.8312714157971</v>
      </c>
      <c r="N87" s="18">
        <f t="shared" si="29"/>
        <v>132.59937642355592</v>
      </c>
      <c r="P87" s="13"/>
      <c r="Q87" s="13"/>
      <c r="S87" s="13"/>
      <c r="T87" s="23"/>
    </row>
    <row r="88" spans="2:20" ht="12" customHeight="1">
      <c r="B88" s="40" t="s">
        <v>118</v>
      </c>
      <c r="C88" s="72"/>
      <c r="D88" s="72"/>
      <c r="E88" s="42">
        <v>91</v>
      </c>
      <c r="F88" s="42">
        <v>41.7</v>
      </c>
      <c r="G88" s="42">
        <v>94</v>
      </c>
      <c r="H88" s="41">
        <v>0.28</v>
      </c>
      <c r="I88" s="41">
        <v>0.66</v>
      </c>
      <c r="J88" s="9">
        <f t="shared" si="31"/>
        <v>11.500021286748606</v>
      </c>
      <c r="K88" s="9">
        <f t="shared" si="30"/>
        <v>10.465019370941231</v>
      </c>
      <c r="L88" s="18">
        <f t="shared" si="27"/>
        <v>209.30038741882464</v>
      </c>
      <c r="M88" s="18">
        <f t="shared" si="28"/>
        <v>203.0213757962599</v>
      </c>
      <c r="N88" s="18">
        <f t="shared" si="29"/>
        <v>196.74236417369517</v>
      </c>
      <c r="P88" s="13"/>
      <c r="Q88" s="13"/>
      <c r="S88" s="13"/>
      <c r="T88" s="23"/>
    </row>
    <row r="89" spans="2:20" ht="12" customHeight="1">
      <c r="B89" s="40" t="s">
        <v>119</v>
      </c>
      <c r="C89" s="72"/>
      <c r="D89" s="43"/>
      <c r="E89" s="42">
        <v>89</v>
      </c>
      <c r="F89" s="42">
        <v>49</v>
      </c>
      <c r="G89" s="42">
        <v>84</v>
      </c>
      <c r="H89" s="41">
        <v>0.35</v>
      </c>
      <c r="I89" s="41">
        <v>0.75</v>
      </c>
      <c r="J89" s="9">
        <f t="shared" si="31"/>
        <v>11.255673120002179</v>
      </c>
      <c r="K89" s="9">
        <f t="shared" si="30"/>
        <v>10.01754907680194</v>
      </c>
      <c r="L89" s="18">
        <f t="shared" si="27"/>
        <v>200.3509815360388</v>
      </c>
      <c r="M89" s="18">
        <f t="shared" si="28"/>
        <v>194.34045208995764</v>
      </c>
      <c r="N89" s="18">
        <f t="shared" si="29"/>
        <v>188.32992264387647</v>
      </c>
      <c r="P89" s="13"/>
      <c r="Q89" s="13"/>
      <c r="S89" s="13"/>
      <c r="T89" s="23"/>
    </row>
    <row r="90" spans="2:20" ht="12" customHeight="1">
      <c r="B90" s="40" t="s">
        <v>120</v>
      </c>
      <c r="C90" s="72"/>
      <c r="D90" s="72"/>
      <c r="E90" s="42">
        <v>89</v>
      </c>
      <c r="F90" s="42">
        <v>53.9</v>
      </c>
      <c r="G90" s="42">
        <v>81</v>
      </c>
      <c r="H90" s="41">
        <v>0.35</v>
      </c>
      <c r="I90" s="41">
        <v>0.75</v>
      </c>
      <c r="J90" s="9">
        <f t="shared" si="31"/>
        <v>11.354003171296949</v>
      </c>
      <c r="K90" s="9">
        <f t="shared" si="30"/>
        <v>10.105062822454284</v>
      </c>
      <c r="L90" s="18">
        <f t="shared" si="27"/>
        <v>202.1012564490857</v>
      </c>
      <c r="M90" s="18">
        <f t="shared" si="28"/>
        <v>196.03821875561312</v>
      </c>
      <c r="N90" s="18">
        <f t="shared" si="29"/>
        <v>189.97518106214054</v>
      </c>
      <c r="P90" s="13"/>
      <c r="Q90" s="13"/>
      <c r="S90" s="13"/>
      <c r="T90" s="23"/>
    </row>
    <row r="91" spans="2:14" ht="12" customHeight="1">
      <c r="B91" s="40" t="s">
        <v>121</v>
      </c>
      <c r="C91" s="72"/>
      <c r="D91" s="72"/>
      <c r="E91" s="42">
        <v>89.4</v>
      </c>
      <c r="F91" s="42">
        <v>31</v>
      </c>
      <c r="G91" s="42">
        <v>59</v>
      </c>
      <c r="H91" s="41">
        <v>0.42</v>
      </c>
      <c r="I91" s="41">
        <v>1.02</v>
      </c>
      <c r="J91" s="9">
        <f t="shared" si="31"/>
        <v>8.05614178765045</v>
      </c>
      <c r="K91" s="9">
        <f t="shared" si="30"/>
        <v>7.202190758159502</v>
      </c>
      <c r="L91" s="18">
        <f t="shared" si="27"/>
        <v>144.04381516319003</v>
      </c>
      <c r="M91" s="18">
        <f t="shared" si="28"/>
        <v>139.72250070829432</v>
      </c>
      <c r="N91" s="18">
        <f t="shared" si="29"/>
        <v>135.40118625339863</v>
      </c>
    </row>
    <row r="92" spans="2:14" ht="12" customHeight="1">
      <c r="B92" s="40" t="s">
        <v>122</v>
      </c>
      <c r="C92" s="72"/>
      <c r="D92" s="72"/>
      <c r="E92" s="42">
        <v>89.4</v>
      </c>
      <c r="F92" s="42">
        <v>45</v>
      </c>
      <c r="G92" s="42">
        <v>67</v>
      </c>
      <c r="H92" s="41">
        <v>0.28</v>
      </c>
      <c r="I92" s="41">
        <v>0.67</v>
      </c>
      <c r="J92" s="9">
        <f t="shared" si="31"/>
        <v>9.457543433746743</v>
      </c>
      <c r="K92" s="9">
        <f t="shared" si="30"/>
        <v>8.455043829769588</v>
      </c>
      <c r="L92" s="18">
        <f t="shared" si="27"/>
        <v>169.10087659539175</v>
      </c>
      <c r="M92" s="18">
        <f t="shared" si="28"/>
        <v>164.02785029753</v>
      </c>
      <c r="N92" s="18">
        <f t="shared" si="29"/>
        <v>158.95482399966824</v>
      </c>
    </row>
    <row r="93" spans="2:20" ht="12" customHeight="1">
      <c r="B93" s="40" t="s">
        <v>133</v>
      </c>
      <c r="C93" s="72"/>
      <c r="D93" s="72"/>
      <c r="E93" s="42">
        <v>90</v>
      </c>
      <c r="F93" s="42">
        <v>12.5</v>
      </c>
      <c r="G93" s="42">
        <v>63</v>
      </c>
      <c r="H93" s="41">
        <v>0.05</v>
      </c>
      <c r="I93" s="41">
        <v>0.33</v>
      </c>
      <c r="J93" s="9">
        <f t="shared" si="31"/>
        <v>6.492086587994641</v>
      </c>
      <c r="K93" s="9">
        <f t="shared" si="30"/>
        <v>5.842877929195177</v>
      </c>
      <c r="L93" s="18">
        <f t="shared" si="27"/>
        <v>116.85755858390354</v>
      </c>
      <c r="M93" s="18">
        <f t="shared" si="28"/>
        <v>113.35183182638643</v>
      </c>
      <c r="N93" s="18">
        <f t="shared" si="29"/>
        <v>109.84610506886932</v>
      </c>
      <c r="P93" s="13"/>
      <c r="Q93" s="13"/>
      <c r="S93" s="13"/>
      <c r="T93" s="23"/>
    </row>
    <row r="94" spans="2:20" ht="12" customHeight="1">
      <c r="B94" s="40" t="s">
        <v>123</v>
      </c>
      <c r="C94" s="72"/>
      <c r="D94" s="72"/>
      <c r="E94" s="42">
        <v>89</v>
      </c>
      <c r="F94" s="42">
        <v>11.5</v>
      </c>
      <c r="G94" s="42">
        <v>88</v>
      </c>
      <c r="H94" s="41">
        <v>0.06</v>
      </c>
      <c r="I94" s="41">
        <v>0.58</v>
      </c>
      <c r="J94" s="9">
        <f t="shared" si="31"/>
        <v>8.727818305266624</v>
      </c>
      <c r="K94" s="9">
        <f t="shared" si="30"/>
        <v>7.767758291687295</v>
      </c>
      <c r="L94" s="18">
        <f t="shared" si="27"/>
        <v>155.3551658337459</v>
      </c>
      <c r="M94" s="18">
        <f t="shared" si="28"/>
        <v>150.6945108587335</v>
      </c>
      <c r="N94" s="18">
        <f t="shared" si="29"/>
        <v>146.03385588372115</v>
      </c>
      <c r="P94" s="13"/>
      <c r="Q94" s="13"/>
      <c r="S94" s="13"/>
      <c r="T94" s="23"/>
    </row>
    <row r="95" spans="2:20" ht="12" customHeight="1">
      <c r="B95" s="40" t="s">
        <v>124</v>
      </c>
      <c r="C95" s="72"/>
      <c r="D95" s="72"/>
      <c r="E95" s="42">
        <v>90</v>
      </c>
      <c r="F95" s="42">
        <v>16.2</v>
      </c>
      <c r="G95" s="42">
        <v>70</v>
      </c>
      <c r="H95" s="41">
        <v>0.13</v>
      </c>
      <c r="I95" s="41">
        <v>0.8</v>
      </c>
      <c r="J95" s="9">
        <f t="shared" si="31"/>
        <v>7.7166002860911185</v>
      </c>
      <c r="K95" s="9">
        <f t="shared" si="30"/>
        <v>6.944940257482007</v>
      </c>
      <c r="L95" s="18">
        <f t="shared" si="27"/>
        <v>138.89880514964014</v>
      </c>
      <c r="M95" s="18">
        <f t="shared" si="28"/>
        <v>134.73184099515092</v>
      </c>
      <c r="N95" s="18">
        <f t="shared" si="29"/>
        <v>130.56487684066173</v>
      </c>
      <c r="P95" s="13"/>
      <c r="Q95" s="13"/>
      <c r="S95" s="13"/>
      <c r="T95" s="23"/>
    </row>
    <row r="96" spans="2:20" ht="12" customHeight="1">
      <c r="B96" s="40" t="s">
        <v>125</v>
      </c>
      <c r="C96" s="72"/>
      <c r="D96" s="72"/>
      <c r="E96" s="42">
        <v>90</v>
      </c>
      <c r="F96" s="42">
        <v>18</v>
      </c>
      <c r="G96" s="42">
        <v>80</v>
      </c>
      <c r="H96" s="41">
        <v>0.12</v>
      </c>
      <c r="I96" s="41">
        <v>1.12</v>
      </c>
      <c r="J96" s="9">
        <f t="shared" si="31"/>
        <v>8.932862415412961</v>
      </c>
      <c r="K96" s="9">
        <f t="shared" si="30"/>
        <v>8.039576173871666</v>
      </c>
      <c r="L96" s="18">
        <f t="shared" si="27"/>
        <v>160.79152347743332</v>
      </c>
      <c r="M96" s="18">
        <f t="shared" si="28"/>
        <v>155.9677777731103</v>
      </c>
      <c r="N96" s="18">
        <f t="shared" si="29"/>
        <v>151.1440320687873</v>
      </c>
      <c r="P96" s="13"/>
      <c r="Q96" s="13"/>
      <c r="S96" s="13"/>
      <c r="T96" s="23"/>
    </row>
    <row r="97" spans="2:16" ht="12" customHeight="1">
      <c r="B97" s="40" t="s">
        <v>126</v>
      </c>
      <c r="C97" s="72"/>
      <c r="D97" s="72"/>
      <c r="E97" s="42">
        <v>7</v>
      </c>
      <c r="F97" s="42">
        <v>14</v>
      </c>
      <c r="G97" s="42">
        <v>78</v>
      </c>
      <c r="H97" s="41">
        <v>0.98</v>
      </c>
      <c r="I97" s="41">
        <v>0.81</v>
      </c>
      <c r="J97" s="9">
        <f t="shared" si="31"/>
        <v>8.364085415208416</v>
      </c>
      <c r="K97" s="9">
        <f t="shared" si="30"/>
        <v>0.5854859790645892</v>
      </c>
      <c r="L97" s="18">
        <f t="shared" si="27"/>
        <v>11.709719581291784</v>
      </c>
      <c r="M97" s="18">
        <f t="shared" si="28"/>
        <v>11.35842799385303</v>
      </c>
      <c r="N97" s="18">
        <f t="shared" si="29"/>
        <v>11.007136406414277</v>
      </c>
      <c r="P97" s="13"/>
    </row>
    <row r="98" spans="2:14" ht="12" customHeight="1">
      <c r="B98" s="40" t="s">
        <v>127</v>
      </c>
      <c r="C98" s="72"/>
      <c r="D98" s="72"/>
      <c r="E98" s="42">
        <v>89</v>
      </c>
      <c r="F98" s="42">
        <v>10</v>
      </c>
      <c r="G98" s="42">
        <v>84</v>
      </c>
      <c r="H98" s="41">
        <v>0.04</v>
      </c>
      <c r="I98" s="41">
        <v>0.3</v>
      </c>
      <c r="J98" s="9">
        <f t="shared" si="31"/>
        <v>8.067322105419871</v>
      </c>
      <c r="K98" s="9">
        <f t="shared" si="30"/>
        <v>7.179916673823685</v>
      </c>
      <c r="L98" s="18">
        <f t="shared" si="27"/>
        <v>143.5983334764737</v>
      </c>
      <c r="M98" s="18">
        <f t="shared" si="28"/>
        <v>139.29038347217949</v>
      </c>
      <c r="N98" s="18">
        <f t="shared" si="29"/>
        <v>134.98243346788527</v>
      </c>
    </row>
    <row r="99" spans="2:20" ht="12" customHeight="1">
      <c r="B99" s="40"/>
      <c r="C99" s="72"/>
      <c r="D99" s="72"/>
      <c r="E99" s="42"/>
      <c r="F99" s="42"/>
      <c r="G99" s="42"/>
      <c r="H99" s="41"/>
      <c r="I99" s="41"/>
      <c r="J99" s="9">
        <f t="shared" si="31"/>
        <v>0</v>
      </c>
      <c r="K99" s="9">
        <f t="shared" si="30"/>
        <v>0</v>
      </c>
      <c r="L99" s="18">
        <f t="shared" si="27"/>
        <v>0</v>
      </c>
      <c r="M99" s="18">
        <f t="shared" si="28"/>
        <v>0</v>
      </c>
      <c r="N99" s="18">
        <f t="shared" si="29"/>
        <v>0</v>
      </c>
      <c r="P99" s="13"/>
      <c r="Q99" s="13"/>
      <c r="S99" s="13"/>
      <c r="T99" s="23"/>
    </row>
    <row r="100" spans="2:20" ht="12" customHeight="1">
      <c r="B100" s="40"/>
      <c r="C100" s="72"/>
      <c r="D100" s="72"/>
      <c r="E100" s="42"/>
      <c r="F100" s="42"/>
      <c r="G100" s="42"/>
      <c r="H100" s="41"/>
      <c r="I100" s="41"/>
      <c r="J100" s="9">
        <f t="shared" si="31"/>
        <v>0</v>
      </c>
      <c r="K100" s="9">
        <f t="shared" si="30"/>
        <v>0</v>
      </c>
      <c r="L100" s="18">
        <f t="shared" si="27"/>
        <v>0</v>
      </c>
      <c r="M100" s="18">
        <f t="shared" si="28"/>
        <v>0</v>
      </c>
      <c r="N100" s="18">
        <f t="shared" si="29"/>
        <v>0</v>
      </c>
      <c r="P100" s="13"/>
      <c r="Q100" s="13"/>
      <c r="S100" s="13"/>
      <c r="T100" s="23"/>
    </row>
    <row r="101" spans="2:20" ht="12" customHeight="1">
      <c r="B101" s="40"/>
      <c r="C101" s="72"/>
      <c r="D101" s="72"/>
      <c r="E101" s="42"/>
      <c r="F101" s="42"/>
      <c r="G101" s="42"/>
      <c r="H101" s="41"/>
      <c r="I101" s="41"/>
      <c r="J101" s="9">
        <f t="shared" si="31"/>
        <v>0</v>
      </c>
      <c r="K101" s="9">
        <f t="shared" si="30"/>
        <v>0</v>
      </c>
      <c r="L101" s="18">
        <f t="shared" si="27"/>
        <v>0</v>
      </c>
      <c r="M101" s="18">
        <f t="shared" si="28"/>
        <v>0</v>
      </c>
      <c r="N101" s="18">
        <f t="shared" si="29"/>
        <v>0</v>
      </c>
      <c r="P101" s="13"/>
      <c r="Q101" s="13"/>
      <c r="S101" s="13"/>
      <c r="T101" s="23"/>
    </row>
    <row r="102" spans="2:20" ht="12" customHeight="1">
      <c r="B102" s="40"/>
      <c r="C102" s="72"/>
      <c r="D102" s="72"/>
      <c r="E102" s="42"/>
      <c r="F102" s="42"/>
      <c r="G102" s="42"/>
      <c r="H102" s="41"/>
      <c r="I102" s="41"/>
      <c r="J102" s="9">
        <f t="shared" si="31"/>
        <v>0</v>
      </c>
      <c r="K102" s="9">
        <f t="shared" si="30"/>
        <v>0</v>
      </c>
      <c r="L102" s="18">
        <f t="shared" si="27"/>
        <v>0</v>
      </c>
      <c r="M102" s="18">
        <f t="shared" si="28"/>
        <v>0</v>
      </c>
      <c r="N102" s="18">
        <f t="shared" si="29"/>
        <v>0</v>
      </c>
      <c r="P102" s="13"/>
      <c r="Q102" s="13"/>
      <c r="S102" s="13"/>
      <c r="T102" s="23"/>
    </row>
    <row r="103" spans="2:20" ht="12" customHeight="1">
      <c r="B103" s="40"/>
      <c r="C103" s="72"/>
      <c r="D103" s="72"/>
      <c r="E103" s="42"/>
      <c r="F103" s="42"/>
      <c r="G103" s="42"/>
      <c r="H103" s="41"/>
      <c r="I103" s="41"/>
      <c r="J103" s="9">
        <f t="shared" si="31"/>
        <v>0</v>
      </c>
      <c r="K103" s="9">
        <f t="shared" si="30"/>
        <v>0</v>
      </c>
      <c r="L103" s="18">
        <f t="shared" si="27"/>
        <v>0</v>
      </c>
      <c r="M103" s="18">
        <f t="shared" si="28"/>
        <v>0</v>
      </c>
      <c r="N103" s="18">
        <f t="shared" si="29"/>
        <v>0</v>
      </c>
      <c r="P103" s="13"/>
      <c r="Q103" s="13"/>
      <c r="S103" s="13"/>
      <c r="T103" s="23"/>
    </row>
    <row r="104" spans="2:20" ht="12" customHeight="1">
      <c r="B104" s="73"/>
      <c r="C104" s="74"/>
      <c r="D104" s="74"/>
      <c r="E104" s="42"/>
      <c r="F104" s="42"/>
      <c r="G104" s="42"/>
      <c r="H104" s="41"/>
      <c r="I104" s="41"/>
      <c r="J104" s="9">
        <f t="shared" si="31"/>
        <v>0</v>
      </c>
      <c r="K104" s="9">
        <f t="shared" si="30"/>
        <v>0</v>
      </c>
      <c r="L104" s="18">
        <f t="shared" si="27"/>
        <v>0</v>
      </c>
      <c r="M104" s="18">
        <f t="shared" si="28"/>
        <v>0</v>
      </c>
      <c r="N104" s="18">
        <f t="shared" si="29"/>
        <v>0</v>
      </c>
      <c r="P104" s="13"/>
      <c r="Q104" s="13"/>
      <c r="S104" s="13"/>
      <c r="T104" s="23"/>
    </row>
    <row r="105" spans="2:19" ht="12" customHeight="1">
      <c r="B105" s="40"/>
      <c r="C105" s="72"/>
      <c r="D105" s="72"/>
      <c r="E105" s="42"/>
      <c r="F105" s="42"/>
      <c r="G105" s="42"/>
      <c r="H105" s="41"/>
      <c r="I105" s="41"/>
      <c r="J105" s="9">
        <f t="shared" si="31"/>
        <v>0</v>
      </c>
      <c r="K105" s="9">
        <f t="shared" si="30"/>
        <v>0</v>
      </c>
      <c r="L105" s="18">
        <f t="shared" si="27"/>
        <v>0</v>
      </c>
      <c r="M105" s="18">
        <f t="shared" si="28"/>
        <v>0</v>
      </c>
      <c r="N105" s="18">
        <f t="shared" si="29"/>
        <v>0</v>
      </c>
      <c r="P105" s="13"/>
      <c r="Q105" s="13"/>
      <c r="S105" s="13"/>
    </row>
    <row r="106" spans="2:20" ht="12" customHeight="1">
      <c r="B106" s="40"/>
      <c r="C106" s="72"/>
      <c r="D106" s="72"/>
      <c r="E106" s="42"/>
      <c r="F106" s="42"/>
      <c r="G106" s="42"/>
      <c r="H106" s="41"/>
      <c r="I106" s="41"/>
      <c r="J106" s="9">
        <f t="shared" si="31"/>
        <v>0</v>
      </c>
      <c r="K106" s="9">
        <f t="shared" si="30"/>
        <v>0</v>
      </c>
      <c r="L106" s="18">
        <f t="shared" si="27"/>
        <v>0</v>
      </c>
      <c r="M106" s="18">
        <f t="shared" si="28"/>
        <v>0</v>
      </c>
      <c r="N106" s="18">
        <f t="shared" si="29"/>
        <v>0</v>
      </c>
      <c r="P106" s="13"/>
      <c r="Q106" s="13"/>
      <c r="S106" s="13"/>
      <c r="T106" s="23"/>
    </row>
    <row r="107" spans="2:20" ht="12" customHeight="1">
      <c r="B107" s="40"/>
      <c r="C107" s="72"/>
      <c r="D107" s="72"/>
      <c r="E107" s="42"/>
      <c r="F107" s="42"/>
      <c r="G107" s="42"/>
      <c r="H107" s="41"/>
      <c r="I107" s="41"/>
      <c r="J107" s="9">
        <f t="shared" si="31"/>
        <v>0</v>
      </c>
      <c r="K107" s="9">
        <f t="shared" si="30"/>
        <v>0</v>
      </c>
      <c r="L107" s="18">
        <f t="shared" si="27"/>
        <v>0</v>
      </c>
      <c r="M107" s="18">
        <f t="shared" si="28"/>
        <v>0</v>
      </c>
      <c r="N107" s="18">
        <f t="shared" si="29"/>
        <v>0</v>
      </c>
      <c r="P107" s="13"/>
      <c r="Q107" s="13"/>
      <c r="S107" s="13"/>
      <c r="T107" s="23"/>
    </row>
    <row r="108" spans="2:20" ht="12" customHeight="1">
      <c r="B108" s="40"/>
      <c r="C108" s="72"/>
      <c r="D108" s="72"/>
      <c r="E108" s="42"/>
      <c r="F108" s="42"/>
      <c r="G108" s="42"/>
      <c r="H108" s="41"/>
      <c r="I108" s="41"/>
      <c r="J108" s="9">
        <f t="shared" si="31"/>
        <v>0</v>
      </c>
      <c r="K108" s="9">
        <f t="shared" si="30"/>
        <v>0</v>
      </c>
      <c r="L108" s="18">
        <f t="shared" si="27"/>
        <v>0</v>
      </c>
      <c r="M108" s="18">
        <f t="shared" si="28"/>
        <v>0</v>
      </c>
      <c r="N108" s="18">
        <f t="shared" si="29"/>
        <v>0</v>
      </c>
      <c r="P108" s="13"/>
      <c r="Q108" s="13"/>
      <c r="T108" s="23"/>
    </row>
    <row r="109" spans="2:16" ht="12" customHeight="1">
      <c r="B109" s="40"/>
      <c r="C109" s="72"/>
      <c r="D109" s="43"/>
      <c r="E109" s="42"/>
      <c r="F109" s="42"/>
      <c r="G109" s="42"/>
      <c r="H109" s="41"/>
      <c r="I109" s="41"/>
      <c r="J109" s="9">
        <f>$P$46*$F$109+$P$47*($G$109-$F$109*0.75)+$D$23*$H$109+$D$24*$I$109</f>
        <v>0</v>
      </c>
      <c r="K109" s="9">
        <f t="shared" si="30"/>
        <v>0</v>
      </c>
      <c r="L109" s="18">
        <f t="shared" si="27"/>
        <v>0</v>
      </c>
      <c r="M109" s="18">
        <f t="shared" si="28"/>
        <v>0</v>
      </c>
      <c r="N109" s="18">
        <f t="shared" si="29"/>
        <v>0</v>
      </c>
      <c r="P109" s="8"/>
    </row>
    <row r="110" spans="2:20" ht="12" customHeight="1">
      <c r="B110" s="40"/>
      <c r="C110" s="72"/>
      <c r="D110" s="72"/>
      <c r="E110" s="42"/>
      <c r="F110" s="42"/>
      <c r="G110" s="42"/>
      <c r="H110" s="41"/>
      <c r="I110" s="41"/>
      <c r="J110" s="9">
        <f aca="true" t="shared" si="32" ref="J110:J117">$P$46*F110+$P$47*(G110-F110*0.75)+$D$23*H110+$D$24*I110</f>
        <v>0</v>
      </c>
      <c r="K110" s="9">
        <f t="shared" si="30"/>
        <v>0</v>
      </c>
      <c r="L110" s="18">
        <f t="shared" si="27"/>
        <v>0</v>
      </c>
      <c r="M110" s="18">
        <f t="shared" si="28"/>
        <v>0</v>
      </c>
      <c r="N110" s="18">
        <f t="shared" si="29"/>
        <v>0</v>
      </c>
      <c r="P110" s="13"/>
      <c r="Q110" s="13"/>
      <c r="S110" s="13"/>
      <c r="T110" s="23"/>
    </row>
    <row r="111" spans="2:20" ht="12" customHeight="1">
      <c r="B111" s="40"/>
      <c r="C111" s="72"/>
      <c r="D111" s="72"/>
      <c r="E111" s="42"/>
      <c r="F111" s="42"/>
      <c r="G111" s="42"/>
      <c r="H111" s="41"/>
      <c r="I111" s="41"/>
      <c r="J111" s="9">
        <f t="shared" si="32"/>
        <v>0</v>
      </c>
      <c r="K111" s="9">
        <f t="shared" si="30"/>
        <v>0</v>
      </c>
      <c r="L111" s="18">
        <f t="shared" si="27"/>
        <v>0</v>
      </c>
      <c r="M111" s="18">
        <f t="shared" si="28"/>
        <v>0</v>
      </c>
      <c r="N111" s="18">
        <f t="shared" si="29"/>
        <v>0</v>
      </c>
      <c r="P111" s="13"/>
      <c r="Q111" s="13"/>
      <c r="S111" s="13"/>
      <c r="T111" s="23"/>
    </row>
    <row r="112" spans="2:20" ht="12" customHeight="1">
      <c r="B112" s="40"/>
      <c r="C112" s="72"/>
      <c r="D112" s="72"/>
      <c r="E112" s="42"/>
      <c r="F112" s="42"/>
      <c r="G112" s="42"/>
      <c r="H112" s="41"/>
      <c r="I112" s="41"/>
      <c r="J112" s="9">
        <f t="shared" si="32"/>
        <v>0</v>
      </c>
      <c r="K112" s="9">
        <f t="shared" si="30"/>
        <v>0</v>
      </c>
      <c r="L112" s="18">
        <f t="shared" si="27"/>
        <v>0</v>
      </c>
      <c r="M112" s="18">
        <f t="shared" si="28"/>
        <v>0</v>
      </c>
      <c r="N112" s="18">
        <f t="shared" si="29"/>
        <v>0</v>
      </c>
      <c r="P112" s="13"/>
      <c r="Q112" s="13"/>
      <c r="S112" s="13"/>
      <c r="T112" s="23"/>
    </row>
    <row r="113" spans="2:20" ht="12" customHeight="1">
      <c r="B113" s="40"/>
      <c r="C113" s="72"/>
      <c r="D113" s="72"/>
      <c r="E113" s="42"/>
      <c r="F113" s="42"/>
      <c r="G113" s="42"/>
      <c r="H113" s="41"/>
      <c r="I113" s="41"/>
      <c r="J113" s="9">
        <f t="shared" si="32"/>
        <v>0</v>
      </c>
      <c r="K113" s="9">
        <f t="shared" si="30"/>
        <v>0</v>
      </c>
      <c r="L113" s="18">
        <f t="shared" si="27"/>
        <v>0</v>
      </c>
      <c r="M113" s="18">
        <f t="shared" si="28"/>
        <v>0</v>
      </c>
      <c r="N113" s="18">
        <f t="shared" si="29"/>
        <v>0</v>
      </c>
      <c r="P113" s="13"/>
      <c r="Q113" s="13"/>
      <c r="S113" s="13"/>
      <c r="T113" s="23"/>
    </row>
    <row r="114" spans="2:20" ht="12" customHeight="1">
      <c r="B114" s="40"/>
      <c r="C114" s="72"/>
      <c r="D114" s="72"/>
      <c r="E114" s="42"/>
      <c r="F114" s="42"/>
      <c r="G114" s="42"/>
      <c r="H114" s="41"/>
      <c r="I114" s="41"/>
      <c r="J114" s="9">
        <f t="shared" si="32"/>
        <v>0</v>
      </c>
      <c r="K114" s="9">
        <f t="shared" si="30"/>
        <v>0</v>
      </c>
      <c r="L114" s="18">
        <f t="shared" si="27"/>
        <v>0</v>
      </c>
      <c r="M114" s="18">
        <f t="shared" si="28"/>
        <v>0</v>
      </c>
      <c r="N114" s="18">
        <f t="shared" si="29"/>
        <v>0</v>
      </c>
      <c r="P114" s="13"/>
      <c r="Q114" s="13"/>
      <c r="S114" s="13"/>
      <c r="T114" s="23"/>
    </row>
    <row r="115" spans="2:20" ht="12" customHeight="1">
      <c r="B115" s="40"/>
      <c r="C115" s="72"/>
      <c r="D115" s="72"/>
      <c r="E115" s="42"/>
      <c r="F115" s="42"/>
      <c r="G115" s="42"/>
      <c r="H115" s="41"/>
      <c r="I115" s="41"/>
      <c r="J115" s="9">
        <f t="shared" si="32"/>
        <v>0</v>
      </c>
      <c r="K115" s="9">
        <f t="shared" si="30"/>
        <v>0</v>
      </c>
      <c r="L115" s="18">
        <f t="shared" si="27"/>
        <v>0</v>
      </c>
      <c r="M115" s="18">
        <f t="shared" si="28"/>
        <v>0</v>
      </c>
      <c r="N115" s="18">
        <f t="shared" si="29"/>
        <v>0</v>
      </c>
      <c r="P115" s="13"/>
      <c r="Q115" s="13"/>
      <c r="S115" s="13"/>
      <c r="T115" s="23"/>
    </row>
    <row r="116" spans="2:18" ht="12" customHeight="1">
      <c r="B116" s="40"/>
      <c r="C116" s="72"/>
      <c r="D116" s="72"/>
      <c r="E116" s="42"/>
      <c r="F116" s="42"/>
      <c r="G116" s="42"/>
      <c r="H116" s="41"/>
      <c r="I116" s="41"/>
      <c r="J116" s="9">
        <f t="shared" si="32"/>
        <v>0</v>
      </c>
      <c r="K116" s="9">
        <f t="shared" si="30"/>
        <v>0</v>
      </c>
      <c r="L116" s="18">
        <f t="shared" si="27"/>
        <v>0</v>
      </c>
      <c r="M116" s="18">
        <f t="shared" si="28"/>
        <v>0</v>
      </c>
      <c r="N116" s="18">
        <f t="shared" si="29"/>
        <v>0</v>
      </c>
      <c r="P116" s="13"/>
      <c r="Q116" s="13"/>
      <c r="R116" s="23"/>
    </row>
    <row r="117" spans="2:17" ht="12" customHeight="1">
      <c r="B117" s="40"/>
      <c r="C117" s="72"/>
      <c r="D117" s="72"/>
      <c r="E117" s="42"/>
      <c r="F117" s="42"/>
      <c r="G117" s="42"/>
      <c r="H117" s="41"/>
      <c r="I117" s="41"/>
      <c r="J117" s="9">
        <f t="shared" si="32"/>
        <v>0</v>
      </c>
      <c r="K117" s="9">
        <f t="shared" si="30"/>
        <v>0</v>
      </c>
      <c r="L117" s="18">
        <f t="shared" si="27"/>
        <v>0</v>
      </c>
      <c r="M117" s="18">
        <f t="shared" si="28"/>
        <v>0</v>
      </c>
      <c r="N117" s="18">
        <f t="shared" si="29"/>
        <v>0</v>
      </c>
      <c r="P117" s="13"/>
      <c r="Q117" s="13"/>
    </row>
    <row r="118" spans="2:14" ht="12" customHeight="1">
      <c r="B118" s="40"/>
      <c r="C118" s="72"/>
      <c r="D118" s="72"/>
      <c r="E118" s="42"/>
      <c r="F118" s="42"/>
      <c r="G118" s="42"/>
      <c r="H118" s="41"/>
      <c r="I118" s="41"/>
      <c r="J118" s="9">
        <f>IF(E118&gt;0,$P$46*F118+$P$47*(G118-F118*0.75)+$D$23*H118+$D$24*I118,0)</f>
        <v>0</v>
      </c>
      <c r="K118" s="9">
        <f t="shared" si="30"/>
        <v>0</v>
      </c>
      <c r="L118" s="18">
        <f t="shared" si="27"/>
        <v>0</v>
      </c>
      <c r="M118" s="18">
        <f t="shared" si="28"/>
        <v>0</v>
      </c>
      <c r="N118" s="18">
        <f t="shared" si="29"/>
        <v>0</v>
      </c>
    </row>
    <row r="120" spans="2:13" ht="12.75">
      <c r="B120" s="1" t="s">
        <v>128</v>
      </c>
      <c r="C120" s="3"/>
      <c r="D120" s="3"/>
      <c r="E120" s="3"/>
      <c r="F120" s="3"/>
      <c r="G120" s="3"/>
      <c r="H120" s="3"/>
      <c r="I120" s="3"/>
      <c r="J120" s="3"/>
      <c r="K120" s="9"/>
      <c r="L120" s="24"/>
      <c r="M120" s="24"/>
    </row>
    <row r="121" spans="3:13" ht="12.75">
      <c r="C121" s="1" t="s">
        <v>129</v>
      </c>
      <c r="D121" s="3"/>
      <c r="E121" s="3"/>
      <c r="F121" s="3"/>
      <c r="G121" s="3"/>
      <c r="H121" s="3"/>
      <c r="I121" s="3"/>
      <c r="J121" s="3"/>
      <c r="K121" s="9"/>
      <c r="L121" s="24"/>
      <c r="M121" s="24"/>
    </row>
    <row r="122" spans="1:13" ht="8.25" customHeight="1">
      <c r="A122" s="25"/>
      <c r="B122" s="1" t="s">
        <v>130</v>
      </c>
      <c r="C122" s="3"/>
      <c r="D122" s="3"/>
      <c r="E122" s="3"/>
      <c r="F122" s="3"/>
      <c r="G122" s="3"/>
      <c r="H122" s="3"/>
      <c r="I122" s="3"/>
      <c r="J122" s="3"/>
      <c r="K122" s="3"/>
      <c r="L122" s="24"/>
      <c r="M122" s="24"/>
    </row>
    <row r="123" spans="2:14" ht="12.75">
      <c r="B123" s="5" t="s">
        <v>131</v>
      </c>
      <c r="M123" s="4"/>
      <c r="N123" s="4"/>
    </row>
    <row r="124" spans="1:12" ht="12.75">
      <c r="A124" s="26"/>
      <c r="B124" s="92"/>
      <c r="C124" s="27"/>
      <c r="D124" s="81"/>
      <c r="E124" s="27"/>
      <c r="F124" s="81"/>
      <c r="G124" s="27"/>
      <c r="H124" s="81"/>
      <c r="I124" s="27"/>
      <c r="J124" s="81"/>
      <c r="K124" s="81"/>
      <c r="L124" s="28"/>
    </row>
    <row r="125" spans="1:12" ht="12.75">
      <c r="A125" s="29"/>
      <c r="B125" s="75" t="str">
        <f>C11</f>
        <v>Corn, Shelled </v>
      </c>
      <c r="C125" s="32"/>
      <c r="D125" s="82">
        <f aca="true" t="shared" si="33" ref="D125:K125">S31</f>
        <v>3.2000000000000006</v>
      </c>
      <c r="E125" s="52">
        <f t="shared" si="33"/>
        <v>4.000000000000001</v>
      </c>
      <c r="F125" s="82">
        <f t="shared" si="33"/>
        <v>4.8</v>
      </c>
      <c r="G125" s="52">
        <f t="shared" si="33"/>
        <v>3.2000000000000006</v>
      </c>
      <c r="H125" s="82">
        <f t="shared" si="33"/>
        <v>4.000000000000001</v>
      </c>
      <c r="I125" s="94">
        <f t="shared" si="33"/>
        <v>4.8</v>
      </c>
      <c r="J125" s="82">
        <f t="shared" si="33"/>
        <v>3.2000000000000006</v>
      </c>
      <c r="K125" s="82">
        <f t="shared" si="33"/>
        <v>4.000000000000001</v>
      </c>
      <c r="L125" s="93">
        <f>AB31</f>
        <v>4.8</v>
      </c>
    </row>
    <row r="126" spans="1:12" ht="12.75">
      <c r="A126" s="29"/>
      <c r="B126" s="75" t="str">
        <f>B125</f>
        <v>Corn, Shelled </v>
      </c>
      <c r="C126" s="32"/>
      <c r="D126" s="83">
        <f aca="true" t="shared" si="34" ref="D126:L126">D125/56*2000</f>
        <v>114.2857142857143</v>
      </c>
      <c r="E126" s="76">
        <f t="shared" si="34"/>
        <v>142.8571428571429</v>
      </c>
      <c r="F126" s="83">
        <f t="shared" si="34"/>
        <v>171.42857142857142</v>
      </c>
      <c r="G126" s="76">
        <f t="shared" si="34"/>
        <v>114.2857142857143</v>
      </c>
      <c r="H126" s="83">
        <f t="shared" si="34"/>
        <v>142.8571428571429</v>
      </c>
      <c r="I126" s="76">
        <f t="shared" si="34"/>
        <v>171.42857142857142</v>
      </c>
      <c r="J126" s="83">
        <f t="shared" si="34"/>
        <v>114.2857142857143</v>
      </c>
      <c r="K126" s="83">
        <f t="shared" si="34"/>
        <v>142.8571428571429</v>
      </c>
      <c r="L126" s="77">
        <f t="shared" si="34"/>
        <v>171.42857142857142</v>
      </c>
    </row>
    <row r="127" spans="1:12" ht="12.75">
      <c r="A127" s="34"/>
      <c r="B127" s="78" t="str">
        <f>E11</f>
        <v>48% CP Soy Meal</v>
      </c>
      <c r="C127" s="35"/>
      <c r="D127" s="84">
        <f aca="true" t="shared" si="35" ref="D127:I127">S29*($E$14*0.01)*20</f>
        <v>168</v>
      </c>
      <c r="E127" s="79">
        <f t="shared" si="35"/>
        <v>168</v>
      </c>
      <c r="F127" s="84">
        <f t="shared" si="35"/>
        <v>168</v>
      </c>
      <c r="G127" s="79">
        <f t="shared" si="35"/>
        <v>210</v>
      </c>
      <c r="H127" s="84">
        <f t="shared" si="35"/>
        <v>210</v>
      </c>
      <c r="I127" s="79">
        <f t="shared" si="35"/>
        <v>210</v>
      </c>
      <c r="J127" s="84">
        <f>($E$15*Y$46+($E$16-0.75*$E$15)*Y$47+$E$17*$D$23+$E$18*$D$24)*($E$14/100)*20</f>
        <v>251.7759592042462</v>
      </c>
      <c r="K127" s="84">
        <f>($E$15*Z$46+($E$16-0.75*$E$15)*Z$47+$E$17*$D$23+$E$18*$D$24)*($E$14/100)*20</f>
        <v>251.95354008733065</v>
      </c>
      <c r="L127" s="80">
        <f>($E$15*AB$46+($E$16-0.75*$E$15)*AB$47+$E$17*$D$23+$E$18*$D$24)*($E$14/100)*20</f>
        <v>252.13112097041517</v>
      </c>
    </row>
    <row r="128" spans="4:6" ht="13.5" customHeight="1">
      <c r="D128" s="10"/>
      <c r="F128" s="5" t="s">
        <v>132</v>
      </c>
    </row>
    <row r="129" spans="2:12" ht="12.75">
      <c r="B129" s="128" t="str">
        <f>IF(ISTEXT(B74),B74,"")</f>
        <v>Barley</v>
      </c>
      <c r="D129" s="18">
        <f aca="true" t="shared" si="36" ref="D129:D173">(+S$46*$F74+S$47*($G74-$F74*0.75)+$D$23*$H74+$D$24*$I74)*20*($E74*0.01)</f>
        <v>118.55794792616338</v>
      </c>
      <c r="E129" s="18">
        <f>K74*20</f>
        <v>148.0477895899621</v>
      </c>
      <c r="F129" s="18">
        <f aca="true" t="shared" si="37" ref="F129:F173">(+U$46*$F74+U$47*($G74-$F74*0.75)+$D$23*$H74+$D$24*$I74)*20*($E74*0.01)</f>
        <v>169.0258075106405</v>
      </c>
      <c r="G129" s="18">
        <f aca="true" t="shared" si="38" ref="G129:G173">(+V$46*$F74+V$47*($G74-$F74*0.75)+$D$23*$H74+$D$24*$I74)*20*($E74*0.01)</f>
        <v>122.81385979772358</v>
      </c>
      <c r="H129" s="18">
        <f aca="true" t="shared" si="39" ref="H129:H173">(+W$46*$F74+W$47*($G74-$F74*0.75)+$D$23*$H74+$D$24*$I74)*20*($E74*0.01)</f>
        <v>148.0477895899621</v>
      </c>
      <c r="I129" s="18">
        <f aca="true" t="shared" si="40" ref="I129:I173">(+X$46*$F74+X$47*($G74-$F74*0.75)+$D$23*$H74+$D$24*$I74)*20*($E74*0.01)</f>
        <v>173.28171938220066</v>
      </c>
      <c r="J129" s="18">
        <f aca="true" t="shared" si="41" ref="J129:J173">(+Y$46*$F74+Y$47*($G74-$F74*0.75)+$D$23*$H74+$D$24*$I74)*20*($E74*0.01)</f>
        <v>127.06977166928375</v>
      </c>
      <c r="K129" s="18">
        <f aca="true" t="shared" si="42" ref="K129:K173">(+Z$46*$F74+Z$47*($G74-$F74*0.75)+$D$23*$H74+$D$24*$I74)*20*($E74*0.01)</f>
        <v>152.30370146152228</v>
      </c>
      <c r="L129" s="18">
        <f aca="true" t="shared" si="43" ref="L129:L173">(+AB$46*$F74+AB$47*($G74-$F74*0.75)+$D$23*$H74+$D$24*$I74)*20*($E74*0.01)</f>
        <v>177.53763125376088</v>
      </c>
    </row>
    <row r="130" spans="2:12" ht="12.75">
      <c r="B130" s="128" t="str">
        <f aca="true" t="shared" si="44" ref="B130:B173">IF(ISTEXT(B75),B75,"")</f>
        <v>Beans, Navy</v>
      </c>
      <c r="C130" s="3"/>
      <c r="D130" s="18">
        <f t="shared" si="36"/>
        <v>134.38279262650784</v>
      </c>
      <c r="E130" s="18">
        <f>K75*20</f>
        <v>167.51886436003184</v>
      </c>
      <c r="F130" s="18">
        <f t="shared" si="37"/>
        <v>169.89398517670688</v>
      </c>
      <c r="G130" s="18">
        <f t="shared" si="38"/>
        <v>149.76326808493232</v>
      </c>
      <c r="H130" s="18">
        <f t="shared" si="39"/>
        <v>167.51886436003184</v>
      </c>
      <c r="I130" s="18">
        <f t="shared" si="40"/>
        <v>185.27446063513136</v>
      </c>
      <c r="J130" s="18">
        <f t="shared" si="41"/>
        <v>165.1437435433568</v>
      </c>
      <c r="K130" s="18">
        <f t="shared" si="42"/>
        <v>182.8993398184563</v>
      </c>
      <c r="L130" s="18">
        <f t="shared" si="43"/>
        <v>200.65493609355585</v>
      </c>
    </row>
    <row r="131" spans="2:12" ht="12.75">
      <c r="B131" s="128" t="str">
        <f t="shared" si="44"/>
        <v>Corn,Shelled 15% Moist</v>
      </c>
      <c r="D131" s="18">
        <f t="shared" si="36"/>
        <v>114.47584858154362</v>
      </c>
      <c r="E131" s="18">
        <f aca="true" t="shared" si="45" ref="E131:E173">K76*20</f>
        <v>143.10172451536926</v>
      </c>
      <c r="F131" s="18">
        <f t="shared" si="37"/>
        <v>171.363726721678</v>
      </c>
      <c r="G131" s="18">
        <f t="shared" si="38"/>
        <v>114.65778544530205</v>
      </c>
      <c r="H131" s="18">
        <f t="shared" si="39"/>
        <v>143.10172451536926</v>
      </c>
      <c r="I131" s="18">
        <f t="shared" si="40"/>
        <v>171.54566358543644</v>
      </c>
      <c r="J131" s="18">
        <f t="shared" si="41"/>
        <v>114.83972230906048</v>
      </c>
      <c r="K131" s="18">
        <f t="shared" si="42"/>
        <v>143.28366137912766</v>
      </c>
      <c r="L131" s="18">
        <f t="shared" si="43"/>
        <v>171.72760044919494</v>
      </c>
    </row>
    <row r="132" spans="2:12" ht="12.75">
      <c r="B132" s="128" t="str">
        <f t="shared" si="44"/>
        <v>Corn, H.M. Shelled</v>
      </c>
      <c r="C132" s="3"/>
      <c r="D132" s="18">
        <f t="shared" si="36"/>
        <v>94.27422824362417</v>
      </c>
      <c r="E132" s="18">
        <f t="shared" si="45"/>
        <v>117.84847901265701</v>
      </c>
      <c r="F132" s="18">
        <f t="shared" si="37"/>
        <v>141.12306906491133</v>
      </c>
      <c r="G132" s="18">
        <f t="shared" si="38"/>
        <v>94.42405860201347</v>
      </c>
      <c r="H132" s="18">
        <f t="shared" si="39"/>
        <v>117.84847901265704</v>
      </c>
      <c r="I132" s="18">
        <f t="shared" si="40"/>
        <v>141.2728994233006</v>
      </c>
      <c r="J132" s="18">
        <f t="shared" si="41"/>
        <v>94.57388896040275</v>
      </c>
      <c r="K132" s="18">
        <f t="shared" si="42"/>
        <v>117.99830937104633</v>
      </c>
      <c r="L132" s="18">
        <f t="shared" si="43"/>
        <v>141.42272978168995</v>
      </c>
    </row>
    <row r="133" spans="2:12" ht="12.75">
      <c r="B133" s="128" t="str">
        <f t="shared" si="44"/>
        <v>Corn Cobs, Ground</v>
      </c>
      <c r="D133" s="18">
        <f t="shared" si="36"/>
        <v>66.00408828188841</v>
      </c>
      <c r="E133" s="18">
        <f t="shared" si="45"/>
        <v>82.41974586007764</v>
      </c>
      <c r="F133" s="18">
        <f t="shared" si="37"/>
        <v>104.00163202948261</v>
      </c>
      <c r="G133" s="18">
        <f t="shared" si="38"/>
        <v>63.42097398628054</v>
      </c>
      <c r="H133" s="18">
        <f t="shared" si="39"/>
        <v>82.41974586007764</v>
      </c>
      <c r="I133" s="18">
        <f t="shared" si="40"/>
        <v>101.41851773387475</v>
      </c>
      <c r="J133" s="18">
        <f t="shared" si="41"/>
        <v>60.83785969067267</v>
      </c>
      <c r="K133" s="18">
        <f t="shared" si="42"/>
        <v>79.83663156446978</v>
      </c>
      <c r="L133" s="18">
        <f t="shared" si="43"/>
        <v>98.8354034382669</v>
      </c>
    </row>
    <row r="134" spans="2:12" ht="12.75">
      <c r="B134" s="128" t="str">
        <f t="shared" si="44"/>
        <v>Ear Corn, 15% Moisture</v>
      </c>
      <c r="C134" s="3"/>
      <c r="D134" s="18">
        <f t="shared" si="36"/>
        <v>108.57038676233066</v>
      </c>
      <c r="E134" s="18">
        <f t="shared" si="45"/>
        <v>135.776292272116</v>
      </c>
      <c r="F134" s="18">
        <f t="shared" si="37"/>
        <v>163.42877008385392</v>
      </c>
      <c r="G134" s="18">
        <f t="shared" si="38"/>
        <v>108.3471006113544</v>
      </c>
      <c r="H134" s="18">
        <f t="shared" si="39"/>
        <v>135.77629227211602</v>
      </c>
      <c r="I134" s="18">
        <f t="shared" si="40"/>
        <v>163.20548393287763</v>
      </c>
      <c r="J134" s="18">
        <f t="shared" si="41"/>
        <v>108.12381446037811</v>
      </c>
      <c r="K134" s="18">
        <f t="shared" si="42"/>
        <v>135.55300612113973</v>
      </c>
      <c r="L134" s="18">
        <f t="shared" si="43"/>
        <v>162.9821977819014</v>
      </c>
    </row>
    <row r="135" spans="2:12" ht="12.75">
      <c r="B135" s="128" t="str">
        <f t="shared" si="44"/>
        <v>Ear Corn, High Moist. </v>
      </c>
      <c r="D135" s="18">
        <f t="shared" si="36"/>
        <v>83.02441340648815</v>
      </c>
      <c r="E135" s="18">
        <f t="shared" si="45"/>
        <v>103.8289293845593</v>
      </c>
      <c r="F135" s="18">
        <f t="shared" si="37"/>
        <v>124.97494182882949</v>
      </c>
      <c r="G135" s="18">
        <f t="shared" si="38"/>
        <v>82.85366517338866</v>
      </c>
      <c r="H135" s="18">
        <f t="shared" si="39"/>
        <v>103.82892938455932</v>
      </c>
      <c r="I135" s="18">
        <f t="shared" si="40"/>
        <v>124.80419359572997</v>
      </c>
      <c r="J135" s="18">
        <f t="shared" si="41"/>
        <v>82.68291694028916</v>
      </c>
      <c r="K135" s="18">
        <f t="shared" si="42"/>
        <v>103.6581811514598</v>
      </c>
      <c r="L135" s="18">
        <f t="shared" si="43"/>
        <v>124.63344536263048</v>
      </c>
    </row>
    <row r="136" spans="2:12" ht="12.75">
      <c r="B136" s="128" t="str">
        <f t="shared" si="44"/>
        <v>Canola Meal</v>
      </c>
      <c r="C136" s="3"/>
      <c r="D136" s="18">
        <f t="shared" si="36"/>
        <v>145.03984981729772</v>
      </c>
      <c r="E136" s="18">
        <f t="shared" si="45"/>
        <v>179.39228655459047</v>
      </c>
      <c r="F136" s="18">
        <f t="shared" si="37"/>
        <v>152.64604357441496</v>
      </c>
      <c r="G136" s="18">
        <f t="shared" si="38"/>
        <v>175.5891896760319</v>
      </c>
      <c r="H136" s="18">
        <f t="shared" si="39"/>
        <v>179.3922865545905</v>
      </c>
      <c r="I136" s="18">
        <f t="shared" si="40"/>
        <v>183.19538343314912</v>
      </c>
      <c r="J136" s="18">
        <f t="shared" si="41"/>
        <v>206.1385295347661</v>
      </c>
      <c r="K136" s="18">
        <f t="shared" si="42"/>
        <v>209.9416264133247</v>
      </c>
      <c r="L136" s="18">
        <f t="shared" si="43"/>
        <v>213.74472329188333</v>
      </c>
    </row>
    <row r="137" spans="2:12" ht="12.75">
      <c r="B137" s="128" t="str">
        <f t="shared" si="44"/>
        <v>Fish Meal, 60% C.P.</v>
      </c>
      <c r="D137" s="18">
        <f t="shared" si="36"/>
        <v>212.6479576901754</v>
      </c>
      <c r="E137" s="18">
        <f t="shared" si="45"/>
        <v>143.10172451536926</v>
      </c>
      <c r="F137" s="18">
        <f t="shared" si="37"/>
        <v>179.92413490832752</v>
      </c>
      <c r="G137" s="18">
        <f t="shared" si="38"/>
        <v>270.6005890512304</v>
      </c>
      <c r="H137" s="18">
        <f t="shared" si="39"/>
        <v>254.2386776603064</v>
      </c>
      <c r="I137" s="18">
        <f t="shared" si="40"/>
        <v>237.87676626938253</v>
      </c>
      <c r="J137" s="18">
        <f t="shared" si="41"/>
        <v>328.5532204122853</v>
      </c>
      <c r="K137" s="18">
        <f t="shared" si="42"/>
        <v>312.1913090213614</v>
      </c>
      <c r="L137" s="18">
        <f t="shared" si="43"/>
        <v>295.8293976304375</v>
      </c>
    </row>
    <row r="138" spans="2:12" ht="12.75">
      <c r="B138" s="128" t="str">
        <f t="shared" si="44"/>
        <v>Hominy Feed</v>
      </c>
      <c r="D138" s="18">
        <f t="shared" si="36"/>
        <v>117.5739828884157</v>
      </c>
      <c r="E138" s="18">
        <f t="shared" si="45"/>
        <v>117.84847901265701</v>
      </c>
      <c r="F138" s="18">
        <f t="shared" si="37"/>
        <v>177.74618499657444</v>
      </c>
      <c r="G138" s="18">
        <f t="shared" si="38"/>
        <v>116.82969571849479</v>
      </c>
      <c r="H138" s="18">
        <f t="shared" si="39"/>
        <v>146.91579677257417</v>
      </c>
      <c r="I138" s="18">
        <f t="shared" si="40"/>
        <v>177.00189782665353</v>
      </c>
      <c r="J138" s="18">
        <f t="shared" si="41"/>
        <v>116.08540854857385</v>
      </c>
      <c r="K138" s="18">
        <f t="shared" si="42"/>
        <v>146.17150960265323</v>
      </c>
      <c r="L138" s="18">
        <f t="shared" si="43"/>
        <v>176.25761065673262</v>
      </c>
    </row>
    <row r="139" spans="2:12" ht="12.75">
      <c r="B139" s="128" t="str">
        <f t="shared" si="44"/>
        <v>Oats, Lightwt &lt;30 LB/Bu</v>
      </c>
      <c r="D139" s="18">
        <f t="shared" si="36"/>
        <v>103.12521195357931</v>
      </c>
      <c r="E139" s="18">
        <f t="shared" si="45"/>
        <v>128.9775245655178</v>
      </c>
      <c r="F139" s="18">
        <f t="shared" si="37"/>
        <v>147.4745286747085</v>
      </c>
      <c r="G139" s="18">
        <f t="shared" si="38"/>
        <v>106.80286620495325</v>
      </c>
      <c r="H139" s="18">
        <f t="shared" si="39"/>
        <v>128.9775245655178</v>
      </c>
      <c r="I139" s="18">
        <f t="shared" si="40"/>
        <v>151.15218292608242</v>
      </c>
      <c r="J139" s="18">
        <f t="shared" si="41"/>
        <v>110.48052045632714</v>
      </c>
      <c r="K139" s="18">
        <f t="shared" si="42"/>
        <v>132.65517881689172</v>
      </c>
      <c r="L139" s="18">
        <f t="shared" si="43"/>
        <v>154.82983717745637</v>
      </c>
    </row>
    <row r="140" spans="2:12" ht="12.75">
      <c r="B140" s="128" t="str">
        <f t="shared" si="44"/>
        <v>Oats, 32-36 Lb/Bu</v>
      </c>
      <c r="D140" s="18">
        <f t="shared" si="36"/>
        <v>108.21721868948246</v>
      </c>
      <c r="E140" s="18">
        <f t="shared" si="45"/>
        <v>135.15505676272116</v>
      </c>
      <c r="F140" s="18">
        <f t="shared" si="37"/>
        <v>154.73272171118637</v>
      </c>
      <c r="G140" s="18">
        <f t="shared" si="38"/>
        <v>111.89730525186917</v>
      </c>
      <c r="H140" s="18">
        <f t="shared" si="39"/>
        <v>135.15505676272116</v>
      </c>
      <c r="I140" s="18">
        <f t="shared" si="40"/>
        <v>158.41280827357306</v>
      </c>
      <c r="J140" s="18">
        <f t="shared" si="41"/>
        <v>115.5773918142559</v>
      </c>
      <c r="K140" s="18">
        <f t="shared" si="42"/>
        <v>138.83514332510785</v>
      </c>
      <c r="L140" s="18">
        <f t="shared" si="43"/>
        <v>162.09289483595984</v>
      </c>
    </row>
    <row r="141" spans="2:12" ht="12.75">
      <c r="B141" s="128" t="str">
        <f t="shared" si="44"/>
        <v>Oats, Over 36 Lb/Bu</v>
      </c>
      <c r="D141" s="18">
        <f t="shared" si="36"/>
        <v>114.11387111591989</v>
      </c>
      <c r="E141" s="18">
        <f t="shared" si="45"/>
        <v>142.5955113420166</v>
      </c>
      <c r="F141" s="18">
        <f t="shared" si="37"/>
        <v>162.4873965801424</v>
      </c>
      <c r="G141" s="18">
        <f t="shared" si="38"/>
        <v>118.40874860990537</v>
      </c>
      <c r="H141" s="18">
        <f t="shared" si="39"/>
        <v>142.5955113420166</v>
      </c>
      <c r="I141" s="18">
        <f t="shared" si="40"/>
        <v>166.78227407412786</v>
      </c>
      <c r="J141" s="18">
        <f t="shared" si="41"/>
        <v>122.70362610389083</v>
      </c>
      <c r="K141" s="18">
        <f t="shared" si="42"/>
        <v>146.89038883600205</v>
      </c>
      <c r="L141" s="18">
        <f t="shared" si="43"/>
        <v>171.0771515681133</v>
      </c>
    </row>
    <row r="142" spans="2:12" ht="12.75">
      <c r="B142" s="128" t="str">
        <f t="shared" si="44"/>
        <v>Soy Hulls</v>
      </c>
      <c r="D142" s="18">
        <f t="shared" si="36"/>
        <v>113.2006197828227</v>
      </c>
      <c r="E142" s="18">
        <f t="shared" si="45"/>
        <v>141.06316640803823</v>
      </c>
      <c r="F142" s="18">
        <f t="shared" si="37"/>
        <v>161.92065731635108</v>
      </c>
      <c r="G142" s="18">
        <f t="shared" si="38"/>
        <v>116.70314764127401</v>
      </c>
      <c r="H142" s="18">
        <f t="shared" si="39"/>
        <v>141.06316640803823</v>
      </c>
      <c r="I142" s="18">
        <f t="shared" si="40"/>
        <v>165.4231851748024</v>
      </c>
      <c r="J142" s="18">
        <f t="shared" si="41"/>
        <v>120.20567549972537</v>
      </c>
      <c r="K142" s="18">
        <f t="shared" si="42"/>
        <v>144.56569426648957</v>
      </c>
      <c r="L142" s="18">
        <f t="shared" si="43"/>
        <v>168.92571303325377</v>
      </c>
    </row>
    <row r="143" spans="2:12" ht="12.75">
      <c r="B143" s="128" t="str">
        <f t="shared" si="44"/>
        <v>Soybeans, Heat Treated</v>
      </c>
      <c r="D143" s="18">
        <f t="shared" si="36"/>
        <v>167.58623210042717</v>
      </c>
      <c r="E143" s="18">
        <f t="shared" si="45"/>
        <v>209.30038741882464</v>
      </c>
      <c r="F143" s="18">
        <f t="shared" si="37"/>
        <v>190.59749385798457</v>
      </c>
      <c r="G143" s="18">
        <f t="shared" si="38"/>
        <v>197.79475654004594</v>
      </c>
      <c r="H143" s="18">
        <f t="shared" si="39"/>
        <v>209.30038741882464</v>
      </c>
      <c r="I143" s="18">
        <f t="shared" si="40"/>
        <v>220.80601829760337</v>
      </c>
      <c r="J143" s="18">
        <f t="shared" si="41"/>
        <v>228.0032809796647</v>
      </c>
      <c r="K143" s="18">
        <f t="shared" si="42"/>
        <v>239.50891185844344</v>
      </c>
      <c r="L143" s="18">
        <f t="shared" si="43"/>
        <v>251.0145427372222</v>
      </c>
    </row>
    <row r="144" spans="2:12" ht="12.75">
      <c r="B144" s="128" t="str">
        <f t="shared" si="44"/>
        <v>Soybean Meal, 44% CP</v>
      </c>
      <c r="D144" s="18">
        <f t="shared" si="36"/>
        <v>160.54839426357483</v>
      </c>
      <c r="E144" s="18">
        <f t="shared" si="45"/>
        <v>200.3509815360388</v>
      </c>
      <c r="F144" s="18">
        <f t="shared" si="37"/>
        <v>164.9932126637573</v>
      </c>
      <c r="G144" s="18">
        <f t="shared" si="38"/>
        <v>198.12857233594758</v>
      </c>
      <c r="H144" s="18">
        <f t="shared" si="39"/>
        <v>200.35098153603874</v>
      </c>
      <c r="I144" s="18">
        <f t="shared" si="40"/>
        <v>202.57339073613</v>
      </c>
      <c r="J144" s="18">
        <f t="shared" si="41"/>
        <v>235.70875040832027</v>
      </c>
      <c r="K144" s="18">
        <f t="shared" si="42"/>
        <v>237.9311596084115</v>
      </c>
      <c r="L144" s="18">
        <f t="shared" si="43"/>
        <v>240.15356880850268</v>
      </c>
    </row>
    <row r="145" spans="2:12" ht="12.75">
      <c r="B145" s="128" t="str">
        <f t="shared" si="44"/>
        <v>Soybean Meal, 48% CP</v>
      </c>
      <c r="D145" s="18">
        <f t="shared" si="36"/>
        <v>161.82462124271308</v>
      </c>
      <c r="E145" s="18">
        <f t="shared" si="45"/>
        <v>202.1012564490857</v>
      </c>
      <c r="F145" s="18">
        <f t="shared" si="37"/>
        <v>157.23367714263784</v>
      </c>
      <c r="G145" s="18">
        <f t="shared" si="38"/>
        <v>204.39672849912333</v>
      </c>
      <c r="H145" s="18">
        <f t="shared" si="39"/>
        <v>202.1012564490857</v>
      </c>
      <c r="I145" s="18">
        <f t="shared" si="40"/>
        <v>199.80578439904806</v>
      </c>
      <c r="J145" s="18">
        <f t="shared" si="41"/>
        <v>246.96883575553355</v>
      </c>
      <c r="K145" s="18">
        <f t="shared" si="42"/>
        <v>244.67336370549594</v>
      </c>
      <c r="L145" s="18">
        <f t="shared" si="43"/>
        <v>242.3778916554583</v>
      </c>
    </row>
    <row r="146" spans="2:12" ht="12.75">
      <c r="B146" s="128" t="str">
        <f t="shared" si="44"/>
        <v>Sunflower Meal 28% CP</v>
      </c>
      <c r="D146" s="18">
        <f t="shared" si="36"/>
        <v>116.93987945159897</v>
      </c>
      <c r="E146" s="18">
        <f t="shared" si="45"/>
        <v>144.04381516319003</v>
      </c>
      <c r="F146" s="18">
        <f t="shared" si="37"/>
        <v>124.65723922294869</v>
      </c>
      <c r="G146" s="18">
        <f t="shared" si="38"/>
        <v>140.1851352775152</v>
      </c>
      <c r="H146" s="18">
        <f t="shared" si="39"/>
        <v>144.04381516319006</v>
      </c>
      <c r="I146" s="18">
        <f t="shared" si="40"/>
        <v>147.9024950488649</v>
      </c>
      <c r="J146" s="18">
        <f t="shared" si="41"/>
        <v>163.43039110343142</v>
      </c>
      <c r="K146" s="18">
        <f t="shared" si="42"/>
        <v>167.2890709891063</v>
      </c>
      <c r="L146" s="18">
        <f t="shared" si="43"/>
        <v>171.1477508747811</v>
      </c>
    </row>
    <row r="147" spans="2:12" ht="12.75">
      <c r="B147" s="128" t="str">
        <f t="shared" si="44"/>
        <v>Sunflower Meal 40% CP</v>
      </c>
      <c r="D147" s="18">
        <f t="shared" si="36"/>
        <v>135.51677667303832</v>
      </c>
      <c r="E147" s="18">
        <f t="shared" si="45"/>
        <v>169.10087659539175</v>
      </c>
      <c r="F147" s="18">
        <f t="shared" si="37"/>
        <v>131.14438562226883</v>
      </c>
      <c r="G147" s="18">
        <f t="shared" si="38"/>
        <v>171.28707212077654</v>
      </c>
      <c r="H147" s="18">
        <f t="shared" si="39"/>
        <v>169.10087659539178</v>
      </c>
      <c r="I147" s="18">
        <f t="shared" si="40"/>
        <v>166.91468107000708</v>
      </c>
      <c r="J147" s="18">
        <f t="shared" si="41"/>
        <v>207.0573675685148</v>
      </c>
      <c r="K147" s="18">
        <f t="shared" si="42"/>
        <v>204.87117204313006</v>
      </c>
      <c r="L147" s="18">
        <f t="shared" si="43"/>
        <v>202.6849765177453</v>
      </c>
    </row>
    <row r="148" spans="2:12" ht="12.75">
      <c r="B148" s="128" t="str">
        <f t="shared" si="44"/>
        <v>Triticale</v>
      </c>
      <c r="C148" s="3"/>
      <c r="D148" s="18">
        <f t="shared" si="36"/>
        <v>93.66028356425267</v>
      </c>
      <c r="E148" s="18">
        <f t="shared" si="45"/>
        <v>116.85755858390354</v>
      </c>
      <c r="F148" s="18">
        <f t="shared" si="37"/>
        <v>129.76615801935358</v>
      </c>
      <c r="G148" s="18">
        <f t="shared" si="38"/>
        <v>98.80462135635308</v>
      </c>
      <c r="H148" s="18">
        <f t="shared" si="39"/>
        <v>116.85755858390353</v>
      </c>
      <c r="I148" s="18">
        <f t="shared" si="40"/>
        <v>134.910495811454</v>
      </c>
      <c r="J148" s="18">
        <f t="shared" si="41"/>
        <v>103.94895914845351</v>
      </c>
      <c r="K148" s="18">
        <f t="shared" si="42"/>
        <v>122.00189637600396</v>
      </c>
      <c r="L148" s="18">
        <f t="shared" si="43"/>
        <v>140.05483360355444</v>
      </c>
    </row>
    <row r="149" spans="2:12" ht="12.75">
      <c r="B149" s="128" t="str">
        <f t="shared" si="44"/>
        <v>Wheat, Grain</v>
      </c>
      <c r="D149" s="18">
        <f t="shared" si="36"/>
        <v>125.01162751307281</v>
      </c>
      <c r="E149" s="18">
        <f t="shared" si="45"/>
        <v>155.3551658337459</v>
      </c>
      <c r="F149" s="18">
        <f t="shared" si="37"/>
        <v>182.84122517656576</v>
      </c>
      <c r="G149" s="18">
        <f t="shared" si="38"/>
        <v>126.44036700199943</v>
      </c>
      <c r="H149" s="18">
        <f t="shared" si="39"/>
        <v>155.35516583374587</v>
      </c>
      <c r="I149" s="18">
        <f t="shared" si="40"/>
        <v>184.26996466549235</v>
      </c>
      <c r="J149" s="18">
        <f t="shared" si="41"/>
        <v>127.86910649092603</v>
      </c>
      <c r="K149" s="18">
        <f t="shared" si="42"/>
        <v>156.7839053226725</v>
      </c>
      <c r="L149" s="18">
        <f t="shared" si="43"/>
        <v>185.69870415441898</v>
      </c>
    </row>
    <row r="150" spans="2:12" ht="12.75">
      <c r="B150" s="128" t="str">
        <f t="shared" si="44"/>
        <v>Wheat Bran</v>
      </c>
      <c r="C150" s="3"/>
      <c r="D150" s="18">
        <f t="shared" si="36"/>
        <v>112.45787563494707</v>
      </c>
      <c r="E150" s="18">
        <f t="shared" si="45"/>
        <v>138.89880514964014</v>
      </c>
      <c r="F150" s="18">
        <f t="shared" si="37"/>
        <v>149.45577082625638</v>
      </c>
      <c r="G150" s="18">
        <f t="shared" si="38"/>
        <v>120.39985755398551</v>
      </c>
      <c r="H150" s="18">
        <f t="shared" si="39"/>
        <v>138.89880514964014</v>
      </c>
      <c r="I150" s="18">
        <f t="shared" si="40"/>
        <v>157.39775274529475</v>
      </c>
      <c r="J150" s="18">
        <f t="shared" si="41"/>
        <v>128.34183947302392</v>
      </c>
      <c r="K150" s="18">
        <f t="shared" si="42"/>
        <v>146.8407870686786</v>
      </c>
      <c r="L150" s="18">
        <f t="shared" si="43"/>
        <v>165.3397346643332</v>
      </c>
    </row>
    <row r="151" spans="2:12" ht="12.75">
      <c r="B151" s="128" t="str">
        <f t="shared" si="44"/>
        <v>Wheat Middlings </v>
      </c>
      <c r="C151" s="3"/>
      <c r="D151" s="18">
        <f t="shared" si="36"/>
        <v>130.72156155657956</v>
      </c>
      <c r="E151" s="18">
        <f t="shared" si="45"/>
        <v>160.79152347743332</v>
      </c>
      <c r="F151" s="18">
        <f t="shared" si="37"/>
        <v>173.69909889187542</v>
      </c>
      <c r="G151" s="18">
        <f t="shared" si="38"/>
        <v>139.30275480978537</v>
      </c>
      <c r="H151" s="18">
        <f t="shared" si="39"/>
        <v>160.79152347743326</v>
      </c>
      <c r="I151" s="18">
        <f t="shared" si="40"/>
        <v>182.28029214508123</v>
      </c>
      <c r="J151" s="18">
        <f t="shared" si="41"/>
        <v>147.88394806299118</v>
      </c>
      <c r="K151" s="18">
        <f t="shared" si="42"/>
        <v>169.37271673063913</v>
      </c>
      <c r="L151" s="18">
        <f t="shared" si="43"/>
        <v>190.86148539828704</v>
      </c>
    </row>
    <row r="152" spans="2:12" ht="12.75">
      <c r="B152" s="128" t="str">
        <f t="shared" si="44"/>
        <v>Whey, 7% Solids</v>
      </c>
      <c r="D152" s="18">
        <f t="shared" si="36"/>
        <v>9.509003368307527</v>
      </c>
      <c r="E152" s="18">
        <f t="shared" si="45"/>
        <v>11.709719581291784</v>
      </c>
      <c r="F152" s="18">
        <f t="shared" si="37"/>
        <v>13.140852589821876</v>
      </c>
      <c r="G152" s="18">
        <f t="shared" si="38"/>
        <v>9.893794970534614</v>
      </c>
      <c r="H152" s="18">
        <f t="shared" si="39"/>
        <v>11.709719581291788</v>
      </c>
      <c r="I152" s="18">
        <f t="shared" si="40"/>
        <v>13.525644192048961</v>
      </c>
      <c r="J152" s="18">
        <f t="shared" si="41"/>
        <v>10.278586572761697</v>
      </c>
      <c r="K152" s="18">
        <f t="shared" si="42"/>
        <v>12.094511183518872</v>
      </c>
      <c r="L152" s="18">
        <f t="shared" si="43"/>
        <v>13.910435794276047</v>
      </c>
    </row>
    <row r="153" spans="2:12" ht="12.75">
      <c r="B153" s="128" t="str">
        <f t="shared" si="44"/>
        <v>Milo</v>
      </c>
      <c r="D153" s="18">
        <f t="shared" si="36"/>
        <v>114.91261649109023</v>
      </c>
      <c r="E153" s="18">
        <f t="shared" si="45"/>
        <v>143.5983334764737</v>
      </c>
      <c r="F153" s="18">
        <f t="shared" si="37"/>
        <v>171.41814774129563</v>
      </c>
      <c r="G153" s="18">
        <f t="shared" si="38"/>
        <v>115.34556785137103</v>
      </c>
      <c r="H153" s="18">
        <f t="shared" si="39"/>
        <v>143.5983334764737</v>
      </c>
      <c r="I153" s="18">
        <f t="shared" si="40"/>
        <v>171.85109910157638</v>
      </c>
      <c r="J153" s="18">
        <f t="shared" si="41"/>
        <v>115.77851921165181</v>
      </c>
      <c r="K153" s="18">
        <f t="shared" si="42"/>
        <v>144.0312848367545</v>
      </c>
      <c r="L153" s="18">
        <f t="shared" si="43"/>
        <v>172.28405046185722</v>
      </c>
    </row>
    <row r="154" spans="2:12" ht="12.75">
      <c r="B154" s="128">
        <f t="shared" si="44"/>
      </c>
      <c r="D154" s="18">
        <f t="shared" si="36"/>
        <v>0</v>
      </c>
      <c r="E154" s="18">
        <f t="shared" si="45"/>
        <v>0</v>
      </c>
      <c r="F154" s="18">
        <f t="shared" si="37"/>
        <v>0</v>
      </c>
      <c r="G154" s="18">
        <f t="shared" si="38"/>
        <v>0</v>
      </c>
      <c r="H154" s="18">
        <f t="shared" si="39"/>
        <v>0</v>
      </c>
      <c r="I154" s="18">
        <f t="shared" si="40"/>
        <v>0</v>
      </c>
      <c r="J154" s="18">
        <f t="shared" si="41"/>
        <v>0</v>
      </c>
      <c r="K154" s="18">
        <f t="shared" si="42"/>
        <v>0</v>
      </c>
      <c r="L154" s="18">
        <f t="shared" si="43"/>
        <v>0</v>
      </c>
    </row>
    <row r="155" spans="2:12" ht="12.75">
      <c r="B155" s="128">
        <f t="shared" si="44"/>
      </c>
      <c r="D155" s="18">
        <f t="shared" si="36"/>
        <v>0</v>
      </c>
      <c r="E155" s="18">
        <f t="shared" si="45"/>
        <v>0</v>
      </c>
      <c r="F155" s="18">
        <f t="shared" si="37"/>
        <v>0</v>
      </c>
      <c r="G155" s="18">
        <f t="shared" si="38"/>
        <v>0</v>
      </c>
      <c r="H155" s="18">
        <f t="shared" si="39"/>
        <v>0</v>
      </c>
      <c r="I155" s="18">
        <f t="shared" si="40"/>
        <v>0</v>
      </c>
      <c r="J155" s="18">
        <f t="shared" si="41"/>
        <v>0</v>
      </c>
      <c r="K155" s="18">
        <f t="shared" si="42"/>
        <v>0</v>
      </c>
      <c r="L155" s="18">
        <f t="shared" si="43"/>
        <v>0</v>
      </c>
    </row>
    <row r="156" spans="2:12" ht="12.75">
      <c r="B156" s="128">
        <f t="shared" si="44"/>
      </c>
      <c r="D156" s="18">
        <f t="shared" si="36"/>
        <v>0</v>
      </c>
      <c r="E156" s="18">
        <f t="shared" si="45"/>
        <v>0</v>
      </c>
      <c r="F156" s="18">
        <f t="shared" si="37"/>
        <v>0</v>
      </c>
      <c r="G156" s="18">
        <f t="shared" si="38"/>
        <v>0</v>
      </c>
      <c r="H156" s="18">
        <f t="shared" si="39"/>
        <v>0</v>
      </c>
      <c r="I156" s="18">
        <f t="shared" si="40"/>
        <v>0</v>
      </c>
      <c r="J156" s="18">
        <f t="shared" si="41"/>
        <v>0</v>
      </c>
      <c r="K156" s="18">
        <f t="shared" si="42"/>
        <v>0</v>
      </c>
      <c r="L156" s="18">
        <f t="shared" si="43"/>
        <v>0</v>
      </c>
    </row>
    <row r="157" spans="2:12" ht="12.75">
      <c r="B157" s="128">
        <f t="shared" si="44"/>
      </c>
      <c r="D157" s="18">
        <f t="shared" si="36"/>
        <v>0</v>
      </c>
      <c r="E157" s="18">
        <f t="shared" si="45"/>
        <v>0</v>
      </c>
      <c r="F157" s="18">
        <f t="shared" si="37"/>
        <v>0</v>
      </c>
      <c r="G157" s="18">
        <f t="shared" si="38"/>
        <v>0</v>
      </c>
      <c r="H157" s="18">
        <f t="shared" si="39"/>
        <v>0</v>
      </c>
      <c r="I157" s="18">
        <f t="shared" si="40"/>
        <v>0</v>
      </c>
      <c r="J157" s="18">
        <f t="shared" si="41"/>
        <v>0</v>
      </c>
      <c r="K157" s="18">
        <f t="shared" si="42"/>
        <v>0</v>
      </c>
      <c r="L157" s="18">
        <f t="shared" si="43"/>
        <v>0</v>
      </c>
    </row>
    <row r="158" spans="2:12" ht="12.75">
      <c r="B158" s="128">
        <f t="shared" si="44"/>
      </c>
      <c r="D158" s="18">
        <f t="shared" si="36"/>
        <v>0</v>
      </c>
      <c r="E158" s="18">
        <f t="shared" si="45"/>
        <v>0</v>
      </c>
      <c r="F158" s="18">
        <f t="shared" si="37"/>
        <v>0</v>
      </c>
      <c r="G158" s="18">
        <f t="shared" si="38"/>
        <v>0</v>
      </c>
      <c r="H158" s="18">
        <f t="shared" si="39"/>
        <v>0</v>
      </c>
      <c r="I158" s="18">
        <f t="shared" si="40"/>
        <v>0</v>
      </c>
      <c r="J158" s="18">
        <f t="shared" si="41"/>
        <v>0</v>
      </c>
      <c r="K158" s="18">
        <f t="shared" si="42"/>
        <v>0</v>
      </c>
      <c r="L158" s="18">
        <f t="shared" si="43"/>
        <v>0</v>
      </c>
    </row>
    <row r="159" spans="2:12" ht="12.75">
      <c r="B159" s="128">
        <f t="shared" si="44"/>
      </c>
      <c r="D159" s="18">
        <f t="shared" si="36"/>
        <v>0</v>
      </c>
      <c r="E159" s="18">
        <f t="shared" si="45"/>
        <v>0</v>
      </c>
      <c r="F159" s="18">
        <f t="shared" si="37"/>
        <v>0</v>
      </c>
      <c r="G159" s="18">
        <f t="shared" si="38"/>
        <v>0</v>
      </c>
      <c r="H159" s="18">
        <f t="shared" si="39"/>
        <v>0</v>
      </c>
      <c r="I159" s="18">
        <f t="shared" si="40"/>
        <v>0</v>
      </c>
      <c r="J159" s="18">
        <f t="shared" si="41"/>
        <v>0</v>
      </c>
      <c r="K159" s="18">
        <f t="shared" si="42"/>
        <v>0</v>
      </c>
      <c r="L159" s="18">
        <f t="shared" si="43"/>
        <v>0</v>
      </c>
    </row>
    <row r="160" spans="2:12" ht="12.75">
      <c r="B160" s="128">
        <f t="shared" si="44"/>
      </c>
      <c r="D160" s="18">
        <f t="shared" si="36"/>
        <v>0</v>
      </c>
      <c r="E160" s="18">
        <f t="shared" si="45"/>
        <v>0</v>
      </c>
      <c r="F160" s="18">
        <f t="shared" si="37"/>
        <v>0</v>
      </c>
      <c r="G160" s="18">
        <f t="shared" si="38"/>
        <v>0</v>
      </c>
      <c r="H160" s="18">
        <f t="shared" si="39"/>
        <v>0</v>
      </c>
      <c r="I160" s="18">
        <f t="shared" si="40"/>
        <v>0</v>
      </c>
      <c r="J160" s="18">
        <f t="shared" si="41"/>
        <v>0</v>
      </c>
      <c r="K160" s="18">
        <f t="shared" si="42"/>
        <v>0</v>
      </c>
      <c r="L160" s="18">
        <f t="shared" si="43"/>
        <v>0</v>
      </c>
    </row>
    <row r="161" spans="2:12" ht="12.75">
      <c r="B161" s="128">
        <f t="shared" si="44"/>
      </c>
      <c r="D161" s="18">
        <f t="shared" si="36"/>
        <v>0</v>
      </c>
      <c r="E161" s="18">
        <f t="shared" si="45"/>
        <v>0</v>
      </c>
      <c r="F161" s="18">
        <f t="shared" si="37"/>
        <v>0</v>
      </c>
      <c r="G161" s="18">
        <f t="shared" si="38"/>
        <v>0</v>
      </c>
      <c r="H161" s="18">
        <f t="shared" si="39"/>
        <v>0</v>
      </c>
      <c r="I161" s="18">
        <f t="shared" si="40"/>
        <v>0</v>
      </c>
      <c r="J161" s="18">
        <f t="shared" si="41"/>
        <v>0</v>
      </c>
      <c r="K161" s="18">
        <f t="shared" si="42"/>
        <v>0</v>
      </c>
      <c r="L161" s="18">
        <f t="shared" si="43"/>
        <v>0</v>
      </c>
    </row>
    <row r="162" spans="2:12" ht="12.75">
      <c r="B162" s="128">
        <f t="shared" si="44"/>
      </c>
      <c r="D162" s="18">
        <f t="shared" si="36"/>
        <v>0</v>
      </c>
      <c r="E162" s="18">
        <f t="shared" si="45"/>
        <v>0</v>
      </c>
      <c r="F162" s="18">
        <f t="shared" si="37"/>
        <v>0</v>
      </c>
      <c r="G162" s="18">
        <f t="shared" si="38"/>
        <v>0</v>
      </c>
      <c r="H162" s="18">
        <f t="shared" si="39"/>
        <v>0</v>
      </c>
      <c r="I162" s="18">
        <f t="shared" si="40"/>
        <v>0</v>
      </c>
      <c r="J162" s="18">
        <f t="shared" si="41"/>
        <v>0</v>
      </c>
      <c r="K162" s="18">
        <f t="shared" si="42"/>
        <v>0</v>
      </c>
      <c r="L162" s="18">
        <f t="shared" si="43"/>
        <v>0</v>
      </c>
    </row>
    <row r="163" spans="2:12" ht="12.75">
      <c r="B163" s="128">
        <f t="shared" si="44"/>
      </c>
      <c r="D163" s="18">
        <f t="shared" si="36"/>
        <v>0</v>
      </c>
      <c r="E163" s="18">
        <f t="shared" si="45"/>
        <v>0</v>
      </c>
      <c r="F163" s="18">
        <f t="shared" si="37"/>
        <v>0</v>
      </c>
      <c r="G163" s="18">
        <f t="shared" si="38"/>
        <v>0</v>
      </c>
      <c r="H163" s="18">
        <f t="shared" si="39"/>
        <v>0</v>
      </c>
      <c r="I163" s="18">
        <f t="shared" si="40"/>
        <v>0</v>
      </c>
      <c r="J163" s="18">
        <f t="shared" si="41"/>
        <v>0</v>
      </c>
      <c r="K163" s="18">
        <f t="shared" si="42"/>
        <v>0</v>
      </c>
      <c r="L163" s="18">
        <f t="shared" si="43"/>
        <v>0</v>
      </c>
    </row>
    <row r="164" spans="2:12" ht="12.75">
      <c r="B164" s="128">
        <f t="shared" si="44"/>
      </c>
      <c r="D164" s="18">
        <f t="shared" si="36"/>
        <v>0</v>
      </c>
      <c r="E164" s="18">
        <f t="shared" si="45"/>
        <v>0</v>
      </c>
      <c r="F164" s="18">
        <f t="shared" si="37"/>
        <v>0</v>
      </c>
      <c r="G164" s="18">
        <f t="shared" si="38"/>
        <v>0</v>
      </c>
      <c r="H164" s="18">
        <f t="shared" si="39"/>
        <v>0</v>
      </c>
      <c r="I164" s="18">
        <f t="shared" si="40"/>
        <v>0</v>
      </c>
      <c r="J164" s="18">
        <f t="shared" si="41"/>
        <v>0</v>
      </c>
      <c r="K164" s="18">
        <f t="shared" si="42"/>
        <v>0</v>
      </c>
      <c r="L164" s="18">
        <f t="shared" si="43"/>
        <v>0</v>
      </c>
    </row>
    <row r="165" spans="2:12" ht="12.75">
      <c r="B165" s="128">
        <f t="shared" si="44"/>
      </c>
      <c r="D165" s="18">
        <f t="shared" si="36"/>
        <v>0</v>
      </c>
      <c r="E165" s="18">
        <f t="shared" si="45"/>
        <v>0</v>
      </c>
      <c r="F165" s="18">
        <f t="shared" si="37"/>
        <v>0</v>
      </c>
      <c r="G165" s="18">
        <f t="shared" si="38"/>
        <v>0</v>
      </c>
      <c r="H165" s="18">
        <f t="shared" si="39"/>
        <v>0</v>
      </c>
      <c r="I165" s="18">
        <f t="shared" si="40"/>
        <v>0</v>
      </c>
      <c r="J165" s="18">
        <f t="shared" si="41"/>
        <v>0</v>
      </c>
      <c r="K165" s="18">
        <f t="shared" si="42"/>
        <v>0</v>
      </c>
      <c r="L165" s="18">
        <f t="shared" si="43"/>
        <v>0</v>
      </c>
    </row>
    <row r="166" spans="2:12" ht="12.75">
      <c r="B166" s="128">
        <f t="shared" si="44"/>
      </c>
      <c r="D166" s="18">
        <f t="shared" si="36"/>
        <v>0</v>
      </c>
      <c r="E166" s="18">
        <f t="shared" si="45"/>
        <v>0</v>
      </c>
      <c r="F166" s="18">
        <f t="shared" si="37"/>
        <v>0</v>
      </c>
      <c r="G166" s="18">
        <f t="shared" si="38"/>
        <v>0</v>
      </c>
      <c r="H166" s="18">
        <f t="shared" si="39"/>
        <v>0</v>
      </c>
      <c r="I166" s="18">
        <f t="shared" si="40"/>
        <v>0</v>
      </c>
      <c r="J166" s="18">
        <f t="shared" si="41"/>
        <v>0</v>
      </c>
      <c r="K166" s="18">
        <f t="shared" si="42"/>
        <v>0</v>
      </c>
      <c r="L166" s="18">
        <f t="shared" si="43"/>
        <v>0</v>
      </c>
    </row>
    <row r="167" spans="2:12" ht="12.75">
      <c r="B167" s="128">
        <f t="shared" si="44"/>
      </c>
      <c r="D167" s="18">
        <f t="shared" si="36"/>
        <v>0</v>
      </c>
      <c r="E167" s="18">
        <f t="shared" si="45"/>
        <v>0</v>
      </c>
      <c r="F167" s="18">
        <f t="shared" si="37"/>
        <v>0</v>
      </c>
      <c r="G167" s="18">
        <f t="shared" si="38"/>
        <v>0</v>
      </c>
      <c r="H167" s="18">
        <f t="shared" si="39"/>
        <v>0</v>
      </c>
      <c r="I167" s="18">
        <f t="shared" si="40"/>
        <v>0</v>
      </c>
      <c r="J167" s="18">
        <f t="shared" si="41"/>
        <v>0</v>
      </c>
      <c r="K167" s="18">
        <f t="shared" si="42"/>
        <v>0</v>
      </c>
      <c r="L167" s="18">
        <f t="shared" si="43"/>
        <v>0</v>
      </c>
    </row>
    <row r="168" spans="2:12" ht="12.75">
      <c r="B168" s="128">
        <f t="shared" si="44"/>
      </c>
      <c r="D168" s="18">
        <f t="shared" si="36"/>
        <v>0</v>
      </c>
      <c r="E168" s="18">
        <f t="shared" si="45"/>
        <v>0</v>
      </c>
      <c r="F168" s="18">
        <f t="shared" si="37"/>
        <v>0</v>
      </c>
      <c r="G168" s="18">
        <f t="shared" si="38"/>
        <v>0</v>
      </c>
      <c r="H168" s="18">
        <f t="shared" si="39"/>
        <v>0</v>
      </c>
      <c r="I168" s="18">
        <f t="shared" si="40"/>
        <v>0</v>
      </c>
      <c r="J168" s="18">
        <f t="shared" si="41"/>
        <v>0</v>
      </c>
      <c r="K168" s="18">
        <f t="shared" si="42"/>
        <v>0</v>
      </c>
      <c r="L168" s="18">
        <f t="shared" si="43"/>
        <v>0</v>
      </c>
    </row>
    <row r="169" spans="2:14" ht="12.75">
      <c r="B169" s="128">
        <f t="shared" si="44"/>
      </c>
      <c r="D169" s="18">
        <f t="shared" si="36"/>
        <v>0</v>
      </c>
      <c r="E169" s="18">
        <f t="shared" si="45"/>
        <v>0</v>
      </c>
      <c r="F169" s="18">
        <f t="shared" si="37"/>
        <v>0</v>
      </c>
      <c r="G169" s="18">
        <f t="shared" si="38"/>
        <v>0</v>
      </c>
      <c r="H169" s="18">
        <f t="shared" si="39"/>
        <v>0</v>
      </c>
      <c r="I169" s="18">
        <f t="shared" si="40"/>
        <v>0</v>
      </c>
      <c r="J169" s="18">
        <f t="shared" si="41"/>
        <v>0</v>
      </c>
      <c r="K169" s="18">
        <f t="shared" si="42"/>
        <v>0</v>
      </c>
      <c r="L169" s="18">
        <f t="shared" si="43"/>
        <v>0</v>
      </c>
      <c r="N169" s="22"/>
    </row>
    <row r="170" spans="2:12" ht="12.75">
      <c r="B170" s="128">
        <f t="shared" si="44"/>
      </c>
      <c r="D170" s="18">
        <f t="shared" si="36"/>
        <v>0</v>
      </c>
      <c r="E170" s="18">
        <f t="shared" si="45"/>
        <v>0</v>
      </c>
      <c r="F170" s="18">
        <f t="shared" si="37"/>
        <v>0</v>
      </c>
      <c r="G170" s="18">
        <f t="shared" si="38"/>
        <v>0</v>
      </c>
      <c r="H170" s="18">
        <f t="shared" si="39"/>
        <v>0</v>
      </c>
      <c r="I170" s="18">
        <f t="shared" si="40"/>
        <v>0</v>
      </c>
      <c r="J170" s="18">
        <f t="shared" si="41"/>
        <v>0</v>
      </c>
      <c r="K170" s="18">
        <f t="shared" si="42"/>
        <v>0</v>
      </c>
      <c r="L170" s="18">
        <f t="shared" si="43"/>
        <v>0</v>
      </c>
    </row>
    <row r="171" spans="2:12" ht="12.75">
      <c r="B171" s="128">
        <f t="shared" si="44"/>
      </c>
      <c r="D171" s="18">
        <f t="shared" si="36"/>
        <v>0</v>
      </c>
      <c r="E171" s="18">
        <f t="shared" si="45"/>
        <v>0</v>
      </c>
      <c r="F171" s="18">
        <f t="shared" si="37"/>
        <v>0</v>
      </c>
      <c r="G171" s="18">
        <f t="shared" si="38"/>
        <v>0</v>
      </c>
      <c r="H171" s="18">
        <f t="shared" si="39"/>
        <v>0</v>
      </c>
      <c r="I171" s="18">
        <f t="shared" si="40"/>
        <v>0</v>
      </c>
      <c r="J171" s="18">
        <f t="shared" si="41"/>
        <v>0</v>
      </c>
      <c r="K171" s="18">
        <f t="shared" si="42"/>
        <v>0</v>
      </c>
      <c r="L171" s="18">
        <f t="shared" si="43"/>
        <v>0</v>
      </c>
    </row>
    <row r="172" spans="2:12" ht="12.75">
      <c r="B172" s="128">
        <f t="shared" si="44"/>
      </c>
      <c r="D172" s="18">
        <f t="shared" si="36"/>
        <v>0</v>
      </c>
      <c r="E172" s="18">
        <f t="shared" si="45"/>
        <v>0</v>
      </c>
      <c r="F172" s="18">
        <f t="shared" si="37"/>
        <v>0</v>
      </c>
      <c r="G172" s="18">
        <f t="shared" si="38"/>
        <v>0</v>
      </c>
      <c r="H172" s="18">
        <f t="shared" si="39"/>
        <v>0</v>
      </c>
      <c r="I172" s="18">
        <f t="shared" si="40"/>
        <v>0</v>
      </c>
      <c r="J172" s="18">
        <f t="shared" si="41"/>
        <v>0</v>
      </c>
      <c r="K172" s="18">
        <f t="shared" si="42"/>
        <v>0</v>
      </c>
      <c r="L172" s="18">
        <f t="shared" si="43"/>
        <v>0</v>
      </c>
    </row>
    <row r="173" spans="2:12" ht="12.75">
      <c r="B173" s="128">
        <f t="shared" si="44"/>
      </c>
      <c r="D173" s="18">
        <f t="shared" si="36"/>
        <v>0</v>
      </c>
      <c r="E173" s="18">
        <f t="shared" si="45"/>
        <v>0</v>
      </c>
      <c r="F173" s="18">
        <f t="shared" si="37"/>
        <v>0</v>
      </c>
      <c r="G173" s="18">
        <f t="shared" si="38"/>
        <v>0</v>
      </c>
      <c r="H173" s="18">
        <f t="shared" si="39"/>
        <v>0</v>
      </c>
      <c r="I173" s="18">
        <f t="shared" si="40"/>
        <v>0</v>
      </c>
      <c r="J173" s="18">
        <f t="shared" si="41"/>
        <v>0</v>
      </c>
      <c r="K173" s="18">
        <f t="shared" si="42"/>
        <v>0</v>
      </c>
      <c r="L173" s="18">
        <f t="shared" si="43"/>
        <v>0</v>
      </c>
    </row>
  </sheetData>
  <mergeCells count="1">
    <mergeCell ref="C5:D5"/>
  </mergeCells>
  <printOptions/>
  <pageMargins left="0.25" right="0.25" top="0.75" bottom="0.75" header="0.5" footer="0.5"/>
  <pageSetup fitToHeight="3" horizontalDpi="120" verticalDpi="120" orientation="portrait" scale="88" r:id="rId1"/>
  <rowBreaks count="2" manualBreakCount="2">
    <brk id="68" max="14" man="1"/>
    <brk id="1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8"/>
  <sheetViews>
    <sheetView tabSelected="1" workbookViewId="0" topLeftCell="A29">
      <pane ySplit="744" topLeftCell="BM29" activePane="bottomLeft" state="split"/>
      <selection pane="topLeft" activeCell="A44" sqref="A44"/>
      <selection pane="bottomLeft" activeCell="B61" sqref="B61:N61"/>
    </sheetView>
  </sheetViews>
  <sheetFormatPr defaultColWidth="9.625" defaultRowHeight="12.75"/>
  <cols>
    <col min="1" max="1" width="2.875" style="2" customWidth="1"/>
    <col min="2" max="2" width="10.125" style="2" customWidth="1"/>
    <col min="3" max="3" width="8.125" style="2" customWidth="1"/>
    <col min="4" max="11" width="7.50390625" style="2" customWidth="1"/>
    <col min="12" max="13" width="8.50390625" style="2" customWidth="1"/>
    <col min="14" max="14" width="7.50390625" style="2" customWidth="1"/>
    <col min="15" max="15" width="9.00390625" style="2" customWidth="1"/>
    <col min="16" max="16" width="10.625" style="2" customWidth="1"/>
    <col min="17" max="17" width="13.625" style="2" customWidth="1"/>
    <col min="18" max="26" width="10.625" style="2" customWidth="1"/>
    <col min="27" max="27" width="1.625" style="2" customWidth="1"/>
    <col min="28" max="28" width="10.625" style="2" customWidth="1"/>
    <col min="29" max="29" width="13.625" style="2" customWidth="1"/>
    <col min="30" max="30" width="6.625" style="2" customWidth="1"/>
    <col min="31" max="31" width="7.625" style="2" customWidth="1"/>
    <col min="32" max="32" width="6.625" style="2" customWidth="1"/>
    <col min="33" max="33" width="7.625" style="2" customWidth="1"/>
    <col min="34" max="34" width="6.625" style="2" customWidth="1"/>
    <col min="35" max="35" width="7.625" style="2" customWidth="1"/>
    <col min="36" max="36" width="6.625" style="2" customWidth="1"/>
    <col min="37" max="37" width="1.625" style="2" customWidth="1"/>
    <col min="38" max="16384" width="10.625" style="2" customWidth="1"/>
  </cols>
  <sheetData>
    <row r="1" spans="1:15" ht="14.25" customHeight="1">
      <c r="A1"/>
      <c r="B1" s="110"/>
      <c r="C1" s="111"/>
      <c r="D1" s="111"/>
      <c r="E1" s="112"/>
      <c r="F1" s="111"/>
      <c r="G1" s="113" t="s">
        <v>0</v>
      </c>
      <c r="H1" s="111"/>
      <c r="I1" s="114"/>
      <c r="J1" s="114"/>
      <c r="K1" s="114"/>
      <c r="L1" s="114"/>
      <c r="M1" s="115"/>
      <c r="N1" s="115"/>
      <c r="O1" s="116"/>
    </row>
    <row r="2" spans="2:15" ht="14.25" customHeight="1">
      <c r="B2" s="117"/>
      <c r="C2" s="111"/>
      <c r="D2" s="111"/>
      <c r="E2" s="112"/>
      <c r="F2" s="111"/>
      <c r="G2" s="113" t="s">
        <v>1</v>
      </c>
      <c r="H2" s="111"/>
      <c r="I2" s="114"/>
      <c r="J2" s="114"/>
      <c r="K2" s="114"/>
      <c r="L2" s="114"/>
      <c r="M2" s="115"/>
      <c r="N2" s="116"/>
      <c r="O2" s="116"/>
    </row>
    <row r="3" spans="2:20" ht="14.25" customHeight="1">
      <c r="B3" s="91"/>
      <c r="C3" s="106"/>
      <c r="D3" s="118"/>
      <c r="E3" s="107"/>
      <c r="F3" s="118"/>
      <c r="G3" s="119" t="s">
        <v>2</v>
      </c>
      <c r="H3" s="118"/>
      <c r="I3" s="108"/>
      <c r="J3" s="108"/>
      <c r="K3" s="108"/>
      <c r="L3" s="108"/>
      <c r="M3" s="108"/>
      <c r="N3" s="108"/>
      <c r="O3" s="109"/>
      <c r="T3" s="5"/>
    </row>
    <row r="4" spans="1:16" ht="14.25" customHeight="1" thickBot="1">
      <c r="A4" s="120"/>
      <c r="B4" s="121"/>
      <c r="C4" s="122"/>
      <c r="D4" s="123"/>
      <c r="E4" s="124"/>
      <c r="F4" s="122"/>
      <c r="G4" s="125" t="s">
        <v>5</v>
      </c>
      <c r="H4" s="122"/>
      <c r="I4" s="126"/>
      <c r="J4" s="126"/>
      <c r="K4" s="126"/>
      <c r="L4" s="126"/>
      <c r="M4" s="126"/>
      <c r="N4" s="126"/>
      <c r="O4" s="126"/>
      <c r="P4" s="120"/>
    </row>
    <row r="5" spans="2:21" ht="16.5" customHeight="1" thickTop="1">
      <c r="B5" s="14" t="s">
        <v>6</v>
      </c>
      <c r="C5" s="149">
        <f ca="1">NOW()</f>
        <v>39101.728635300926</v>
      </c>
      <c r="D5" s="149"/>
      <c r="T5" s="5"/>
      <c r="U5" s="5"/>
    </row>
    <row r="6" ht="12" customHeight="1"/>
    <row r="7" spans="2:21" ht="12" customHeight="1">
      <c r="B7" s="1" t="s">
        <v>9</v>
      </c>
      <c r="T7" s="5"/>
      <c r="U7" s="5"/>
    </row>
    <row r="8" spans="1:14" ht="12" customHeight="1">
      <c r="A8" s="26"/>
      <c r="B8" s="28"/>
      <c r="C8" s="27"/>
      <c r="D8" s="27"/>
      <c r="E8" s="27"/>
      <c r="F8" s="38"/>
      <c r="G8" s="100"/>
      <c r="H8" s="27"/>
      <c r="I8" s="26"/>
      <c r="J8" s="27"/>
      <c r="K8" s="27"/>
      <c r="L8" s="26"/>
      <c r="M8" s="27"/>
      <c r="N8" s="28"/>
    </row>
    <row r="9" spans="1:21" ht="12" customHeight="1">
      <c r="A9" s="29"/>
      <c r="B9" s="30" t="s">
        <v>12</v>
      </c>
      <c r="C9" s="143" t="s">
        <v>13</v>
      </c>
      <c r="D9" s="30"/>
      <c r="E9" s="32"/>
      <c r="F9" s="44" t="s">
        <v>14</v>
      </c>
      <c r="G9" s="31"/>
      <c r="H9" s="32"/>
      <c r="I9" s="44" t="s">
        <v>15</v>
      </c>
      <c r="J9" s="32"/>
      <c r="K9" s="32"/>
      <c r="L9" s="136" t="s">
        <v>16</v>
      </c>
      <c r="M9" s="32"/>
      <c r="N9" s="33"/>
      <c r="O9" s="29"/>
      <c r="T9" s="5"/>
      <c r="U9" s="5"/>
    </row>
    <row r="10" spans="1:14" ht="12" customHeight="1">
      <c r="A10" s="34"/>
      <c r="B10" s="35"/>
      <c r="C10" s="34"/>
      <c r="D10" s="35"/>
      <c r="E10" s="35"/>
      <c r="F10" s="39"/>
      <c r="G10" s="103"/>
      <c r="H10" s="35"/>
      <c r="I10" s="34"/>
      <c r="J10" s="35"/>
      <c r="K10" s="35"/>
      <c r="L10" s="34"/>
      <c r="M10" s="35"/>
      <c r="N10" s="36"/>
    </row>
    <row r="11" spans="1:21" ht="12" customHeight="1">
      <c r="A11" s="26"/>
      <c r="B11" s="45" t="s">
        <v>19</v>
      </c>
      <c r="C11" s="135" t="str">
        <f>FEEDVAL!C11</f>
        <v>Corn, Shelled </v>
      </c>
      <c r="D11" s="135"/>
      <c r="E11" s="32"/>
      <c r="F11" s="135" t="str">
        <f>FEEDVAL!E11</f>
        <v>48% CP Soy Meal</v>
      </c>
      <c r="G11" s="135"/>
      <c r="H11" s="32"/>
      <c r="I11" s="135" t="str">
        <f>FEEDVAL!H11</f>
        <v>Feed Limestone</v>
      </c>
      <c r="J11" s="135"/>
      <c r="K11" s="32"/>
      <c r="L11" s="135" t="str">
        <f>FEEDVAL!J11</f>
        <v>Dicalcium Phosphate</v>
      </c>
      <c r="M11" s="135"/>
      <c r="N11" s="33"/>
      <c r="T11" s="5"/>
      <c r="U11" s="5"/>
    </row>
    <row r="12" spans="1:14" ht="12" customHeight="1">
      <c r="A12" s="29"/>
      <c r="B12" s="30" t="s">
        <v>26</v>
      </c>
      <c r="C12" s="147">
        <v>142</v>
      </c>
      <c r="D12" s="135" t="str">
        <f>G12</f>
        <v>$/Ton</v>
      </c>
      <c r="E12" s="144"/>
      <c r="F12" s="147">
        <v>210</v>
      </c>
      <c r="G12" s="135" t="str">
        <f>FEEDVAL!F12</f>
        <v>$/Ton</v>
      </c>
      <c r="H12" s="144"/>
      <c r="I12" s="147">
        <f>FEEDVAL!H12*20</f>
        <v>100</v>
      </c>
      <c r="J12" s="135" t="str">
        <f>G12</f>
        <v>$/Ton</v>
      </c>
      <c r="K12" s="144"/>
      <c r="L12" s="147">
        <f>FEEDVAL!J12*20</f>
        <v>360</v>
      </c>
      <c r="M12" s="135" t="str">
        <f>J12</f>
        <v>$/Ton</v>
      </c>
      <c r="N12" s="33"/>
    </row>
    <row r="13" spans="1:21" ht="12" customHeight="1" hidden="1">
      <c r="A13" s="29"/>
      <c r="B13" s="30" t="s">
        <v>30</v>
      </c>
      <c r="C13" s="135">
        <f>FEEDVAL!C13</f>
        <v>7.142857142857142</v>
      </c>
      <c r="D13" s="135" t="str">
        <f>FEEDVAL!D13</f>
        <v>$/cwt</v>
      </c>
      <c r="E13" s="144"/>
      <c r="F13" s="135">
        <f>FEEDVAL!E13</f>
        <v>10.5</v>
      </c>
      <c r="G13" s="135" t="str">
        <f>FEEDVAL!F13</f>
        <v>$/cwt</v>
      </c>
      <c r="H13" s="144"/>
      <c r="I13" s="135"/>
      <c r="J13" s="135"/>
      <c r="K13" s="144"/>
      <c r="L13" s="135"/>
      <c r="M13" s="135"/>
      <c r="N13" s="33"/>
      <c r="T13" s="5"/>
      <c r="U13" s="5"/>
    </row>
    <row r="14" spans="1:14" ht="12" customHeight="1">
      <c r="A14" s="29"/>
      <c r="B14" s="30" t="s">
        <v>33</v>
      </c>
      <c r="C14" s="140">
        <f>FEEDVAL!C14</f>
        <v>85</v>
      </c>
      <c r="D14" s="140"/>
      <c r="E14" s="145"/>
      <c r="F14" s="140">
        <f>FEEDVAL!E14</f>
        <v>89</v>
      </c>
      <c r="G14" s="140"/>
      <c r="H14" s="145"/>
      <c r="I14" s="140">
        <f>FEEDVAL!H14</f>
        <v>98</v>
      </c>
      <c r="J14" s="140"/>
      <c r="K14" s="145"/>
      <c r="L14" s="140">
        <f>FEEDVAL!J14</f>
        <v>98</v>
      </c>
      <c r="M14" s="135"/>
      <c r="N14" s="33"/>
    </row>
    <row r="15" spans="1:21" ht="12" customHeight="1">
      <c r="A15" s="29"/>
      <c r="B15" s="30" t="s">
        <v>34</v>
      </c>
      <c r="C15" s="140">
        <f>FEEDVAL!C15</f>
        <v>10</v>
      </c>
      <c r="D15" s="140"/>
      <c r="E15" s="145"/>
      <c r="F15" s="140">
        <f>FEEDVAL!E15</f>
        <v>53.93258426966292</v>
      </c>
      <c r="G15" s="140"/>
      <c r="H15" s="145"/>
      <c r="I15" s="140"/>
      <c r="J15" s="140"/>
      <c r="K15" s="145"/>
      <c r="L15" s="140"/>
      <c r="M15" s="135"/>
      <c r="N15" s="33"/>
      <c r="T15" s="5"/>
      <c r="U15" s="5"/>
    </row>
    <row r="16" spans="1:14" ht="12" customHeight="1">
      <c r="A16" s="29"/>
      <c r="B16" s="30" t="s">
        <v>37</v>
      </c>
      <c r="C16" s="140">
        <f>FEEDVAL!C16</f>
        <v>88</v>
      </c>
      <c r="D16" s="140"/>
      <c r="E16" s="145"/>
      <c r="F16" s="140">
        <f>FEEDVAL!E16</f>
        <v>87</v>
      </c>
      <c r="G16" s="140"/>
      <c r="H16" s="145"/>
      <c r="I16" s="140"/>
      <c r="J16" s="140"/>
      <c r="K16" s="145"/>
      <c r="L16" s="140"/>
      <c r="M16" s="135"/>
      <c r="N16" s="33"/>
    </row>
    <row r="17" spans="1:21" ht="12" customHeight="1">
      <c r="A17" s="29"/>
      <c r="B17" s="30" t="s">
        <v>38</v>
      </c>
      <c r="C17" s="139">
        <f>FEEDVAL!C17</f>
        <v>0.02</v>
      </c>
      <c r="D17" s="139"/>
      <c r="E17" s="146"/>
      <c r="F17" s="139">
        <f>FEEDVAL!E17</f>
        <v>0.2808988764044944</v>
      </c>
      <c r="G17" s="139"/>
      <c r="H17" s="146"/>
      <c r="I17" s="139">
        <f>FEEDVAL!H17</f>
        <v>36</v>
      </c>
      <c r="J17" s="139"/>
      <c r="K17" s="146"/>
      <c r="L17" s="139">
        <f>FEEDVAL!J17</f>
        <v>18</v>
      </c>
      <c r="M17" s="135"/>
      <c r="N17" s="33"/>
      <c r="T17" s="11"/>
      <c r="U17" s="11"/>
    </row>
    <row r="18" spans="1:14" ht="12" customHeight="1">
      <c r="A18" s="29"/>
      <c r="B18" s="30" t="s">
        <v>41</v>
      </c>
      <c r="C18" s="139">
        <f>FEEDVAL!C18</f>
        <v>0.3</v>
      </c>
      <c r="D18" s="139"/>
      <c r="E18" s="146"/>
      <c r="F18" s="139">
        <f>FEEDVAL!E18</f>
        <v>0.6741573033707865</v>
      </c>
      <c r="G18" s="139"/>
      <c r="H18" s="146"/>
      <c r="I18" s="139">
        <f>FEEDVAL!H18</f>
        <v>0</v>
      </c>
      <c r="J18" s="139"/>
      <c r="K18" s="146"/>
      <c r="L18" s="139">
        <f>FEEDVAL!J18</f>
        <v>21</v>
      </c>
      <c r="M18" s="135"/>
      <c r="N18" s="33"/>
    </row>
    <row r="19" spans="1:14" ht="12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ht="6" customHeight="1">
      <c r="C20" s="10"/>
    </row>
    <row r="21" spans="2:13" ht="5.25" customHeight="1">
      <c r="B21" s="1"/>
      <c r="C21" s="3"/>
      <c r="D21" s="4"/>
      <c r="G21" s="4"/>
      <c r="H21" s="7" t="s">
        <v>42</v>
      </c>
      <c r="I21" s="4"/>
      <c r="J21" s="4"/>
      <c r="K21" s="7"/>
      <c r="L21" s="4"/>
      <c r="M21" s="4"/>
    </row>
    <row r="22" spans="1:13" ht="12" customHeight="1">
      <c r="A22" s="26"/>
      <c r="B22" s="54" t="s">
        <v>43</v>
      </c>
      <c r="C22" s="27"/>
      <c r="D22" s="27"/>
      <c r="E22" s="27"/>
      <c r="F22" s="27"/>
      <c r="G22" s="27"/>
      <c r="H22" s="27"/>
      <c r="I22" s="28"/>
      <c r="M22" s="12" t="s">
        <v>42</v>
      </c>
    </row>
    <row r="23" spans="1:13" ht="12" customHeight="1">
      <c r="A23" s="29"/>
      <c r="B23" s="55" t="s">
        <v>44</v>
      </c>
      <c r="C23" s="56"/>
      <c r="D23" s="137">
        <f>FEEDVAL!D23</f>
        <v>0.1417233560090703</v>
      </c>
      <c r="E23" s="55" t="s">
        <v>45</v>
      </c>
      <c r="F23" s="56"/>
      <c r="G23" s="32"/>
      <c r="H23" s="137">
        <f>FEEDVAL!H23</f>
        <v>0.13547460175094747</v>
      </c>
      <c r="I23" s="37"/>
      <c r="J23" s="13"/>
      <c r="K23" s="4"/>
      <c r="L23" s="4"/>
      <c r="M23" s="4"/>
    </row>
    <row r="24" spans="1:18" ht="12" customHeight="1">
      <c r="A24" s="34"/>
      <c r="B24" s="57" t="s">
        <v>46</v>
      </c>
      <c r="C24" s="58"/>
      <c r="D24" s="138">
        <f>FEEDVAL!D24</f>
        <v>0.7531584062196308</v>
      </c>
      <c r="E24" s="57" t="s">
        <v>47</v>
      </c>
      <c r="F24" s="58"/>
      <c r="G24" s="35"/>
      <c r="H24" s="138">
        <f>FEEDVAL!H24</f>
        <v>0.0847184265595313</v>
      </c>
      <c r="I24" s="59"/>
      <c r="J24" s="13"/>
      <c r="K24" s="4"/>
      <c r="L24" s="4"/>
      <c r="M24" s="4"/>
      <c r="P24" s="1"/>
      <c r="Q24" s="3"/>
      <c r="R24" s="3"/>
    </row>
    <row r="25" spans="11:18" ht="9.75" customHeight="1">
      <c r="K25" s="129"/>
      <c r="M25" s="4"/>
      <c r="P25" s="1"/>
      <c r="Q25" s="3"/>
      <c r="R25" s="3"/>
    </row>
    <row r="26" spans="7:18" ht="9.75" customHeight="1">
      <c r="G26" s="13"/>
      <c r="H26" s="4"/>
      <c r="I26" s="4"/>
      <c r="J26" s="4"/>
      <c r="K26" s="4"/>
      <c r="L26" s="4"/>
      <c r="M26" s="4"/>
      <c r="P26" s="5"/>
      <c r="R26" s="3"/>
    </row>
    <row r="27" spans="16:21" ht="9.75" customHeight="1">
      <c r="P27" s="5"/>
      <c r="R27" s="5"/>
      <c r="S27" s="15"/>
      <c r="T27" s="15"/>
      <c r="U27" s="15"/>
    </row>
    <row r="28" spans="1:25" ht="12" customHeight="1">
      <c r="A28" s="26"/>
      <c r="B28" s="27"/>
      <c r="C28" s="27"/>
      <c r="D28" s="27"/>
      <c r="E28" s="65"/>
      <c r="F28" s="66"/>
      <c r="G28" s="66"/>
      <c r="H28" s="66"/>
      <c r="I28" s="66"/>
      <c r="J28" s="66"/>
      <c r="K28" s="66"/>
      <c r="L28" s="69" t="s">
        <v>53</v>
      </c>
      <c r="M28" s="69" t="s">
        <v>53</v>
      </c>
      <c r="N28" s="81"/>
      <c r="P28" s="16"/>
      <c r="Q28" s="16"/>
      <c r="R28" s="16"/>
      <c r="S28" s="16"/>
      <c r="T28" s="16"/>
      <c r="U28" s="16"/>
      <c r="V28" s="16"/>
      <c r="W28" s="16"/>
      <c r="Y28" s="16"/>
    </row>
    <row r="29" spans="1:25" ht="12" customHeight="1">
      <c r="A29" s="29"/>
      <c r="B29" s="62"/>
      <c r="C29" s="62"/>
      <c r="E29" s="67" t="s">
        <v>55</v>
      </c>
      <c r="F29" s="67" t="s">
        <v>56</v>
      </c>
      <c r="G29" s="31" t="s">
        <v>57</v>
      </c>
      <c r="H29" s="67" t="s">
        <v>58</v>
      </c>
      <c r="I29" s="67" t="s">
        <v>59</v>
      </c>
      <c r="J29" s="67" t="s">
        <v>60</v>
      </c>
      <c r="K29" s="67" t="s">
        <v>61</v>
      </c>
      <c r="L29" s="70" t="s">
        <v>134</v>
      </c>
      <c r="M29" s="70" t="s">
        <v>134</v>
      </c>
      <c r="N29" s="98" t="s">
        <v>3</v>
      </c>
      <c r="O29" s="6"/>
      <c r="P29" s="15"/>
      <c r="Q29" s="15"/>
      <c r="R29" s="15"/>
      <c r="S29" s="15"/>
      <c r="T29" s="15"/>
      <c r="U29" s="15"/>
      <c r="V29" s="15"/>
      <c r="W29" s="15"/>
      <c r="Y29" s="15"/>
    </row>
    <row r="30" spans="1:25" ht="12" customHeight="1">
      <c r="A30" s="34"/>
      <c r="B30" s="57" t="s">
        <v>66</v>
      </c>
      <c r="C30" s="64"/>
      <c r="D30" s="64"/>
      <c r="E30" s="68" t="s">
        <v>67</v>
      </c>
      <c r="F30" s="68" t="s">
        <v>67</v>
      </c>
      <c r="G30" s="68" t="s">
        <v>67</v>
      </c>
      <c r="H30" s="68" t="s">
        <v>67</v>
      </c>
      <c r="I30" s="68" t="s">
        <v>67</v>
      </c>
      <c r="J30" s="68" t="s">
        <v>67</v>
      </c>
      <c r="K30" s="68" t="s">
        <v>67</v>
      </c>
      <c r="L30" s="68" t="s">
        <v>135</v>
      </c>
      <c r="M30" s="68" t="s">
        <v>136</v>
      </c>
      <c r="N30" s="97"/>
      <c r="O30" s="6"/>
      <c r="P30" s="15"/>
      <c r="Q30" s="15"/>
      <c r="R30" s="15"/>
      <c r="S30" s="15"/>
      <c r="T30" s="15"/>
      <c r="U30" s="15"/>
      <c r="V30" s="15"/>
      <c r="W30" s="15"/>
      <c r="Y30" s="15"/>
    </row>
    <row r="31" spans="3:25" ht="12" customHeight="1">
      <c r="C31"/>
      <c r="F31" s="1" t="s">
        <v>71</v>
      </c>
      <c r="O31" s="6"/>
      <c r="P31" s="15"/>
      <c r="Q31" s="15"/>
      <c r="R31" s="15"/>
      <c r="S31" s="15"/>
      <c r="T31" s="15"/>
      <c r="U31" s="15"/>
      <c r="V31" s="15"/>
      <c r="W31" s="15"/>
      <c r="Y31" s="15"/>
    </row>
    <row r="32" spans="5:25" ht="9.75" customHeight="1">
      <c r="E32" s="1"/>
      <c r="F32" s="3"/>
      <c r="G32" s="3"/>
      <c r="H32" s="3"/>
      <c r="I32" s="3"/>
      <c r="J32" s="3"/>
      <c r="K32" s="3"/>
      <c r="O32" s="15"/>
      <c r="P32" s="17"/>
      <c r="Q32" s="17"/>
      <c r="R32" s="17"/>
      <c r="S32" s="17"/>
      <c r="T32" s="17"/>
      <c r="U32" s="17"/>
      <c r="V32" s="17"/>
      <c r="W32" s="17"/>
      <c r="Y32" s="17"/>
    </row>
    <row r="33" spans="2:25" ht="12" customHeight="1">
      <c r="B33" s="130" t="str">
        <f>FEEDVAL!B33</f>
        <v>Alfalfa -Bud</v>
      </c>
      <c r="E33" s="130">
        <f>IF(FEEDVAL!D33&gt;0,FEEDVAL!D33,"")</f>
        <v>90</v>
      </c>
      <c r="F33" s="130">
        <f>FEEDVAL!E33</f>
        <v>22</v>
      </c>
      <c r="G33" s="130">
        <f>FEEDVAL!F33</f>
        <v>30</v>
      </c>
      <c r="H33" s="130">
        <f>FEEDVAL!G33</f>
        <v>40</v>
      </c>
      <c r="I33" s="130">
        <f>FEEDVAL!H33</f>
        <v>65.53</v>
      </c>
      <c r="J33" s="130">
        <f>FEEDVAL!I33</f>
        <v>1.3</v>
      </c>
      <c r="K33" s="130">
        <f>FEEDVAL!J33</f>
        <v>0.3</v>
      </c>
      <c r="L33" s="134">
        <f>FEEDVAL!K33*20</f>
        <v>150.88747154824685</v>
      </c>
      <c r="M33" s="134">
        <f>L33*E33/100</f>
        <v>135.79872439342216</v>
      </c>
      <c r="N33" s="131">
        <f>FEEDVAL!O33</f>
        <v>152.3953488372093</v>
      </c>
      <c r="O33" s="15"/>
      <c r="P33" s="17"/>
      <c r="Q33" s="17"/>
      <c r="R33" s="17"/>
      <c r="S33" s="17"/>
      <c r="T33" s="17"/>
      <c r="U33" s="17"/>
      <c r="V33" s="17"/>
      <c r="W33" s="17"/>
      <c r="Y33" s="17"/>
    </row>
    <row r="34" spans="2:25" ht="12" customHeight="1">
      <c r="B34" s="130" t="str">
        <f>FEEDVAL!B34</f>
        <v>Alfalfa 1ST Flower</v>
      </c>
      <c r="C34" s="72"/>
      <c r="E34" s="130">
        <f>IF(FEEDVAL!D34&gt;0,FEEDVAL!D34,"")</f>
        <v>90</v>
      </c>
      <c r="F34" s="130">
        <f>FEEDVAL!E34</f>
        <v>19</v>
      </c>
      <c r="G34" s="130">
        <f>FEEDVAL!F34</f>
        <v>33</v>
      </c>
      <c r="H34" s="130">
        <f>FEEDVAL!G34</f>
        <v>44</v>
      </c>
      <c r="I34" s="130">
        <f>FEEDVAL!H34</f>
        <v>63.193000000000005</v>
      </c>
      <c r="J34" s="130">
        <f>FEEDVAL!I34</f>
        <v>1.25</v>
      </c>
      <c r="K34" s="130">
        <f>FEEDVAL!J34</f>
        <v>0.29</v>
      </c>
      <c r="L34" s="134">
        <f>FEEDVAL!K34*20</f>
        <v>142.31923034372346</v>
      </c>
      <c r="M34" s="134">
        <f aca="true" t="shared" si="0" ref="M34:M56">L34*E34/100</f>
        <v>128.0873073093511</v>
      </c>
      <c r="N34" s="131">
        <f>FEEDVAL!O34</f>
        <v>133.60042283298097</v>
      </c>
      <c r="O34" s="15"/>
      <c r="P34" s="17"/>
      <c r="Q34" s="17"/>
      <c r="R34" s="17"/>
      <c r="S34" s="17"/>
      <c r="T34" s="17"/>
      <c r="U34" s="17"/>
      <c r="V34" s="17"/>
      <c r="W34" s="17"/>
      <c r="Y34" s="17"/>
    </row>
    <row r="35" spans="2:25" ht="12" customHeight="1">
      <c r="B35" s="130" t="str">
        <f>FEEDVAL!B35</f>
        <v>Alfalfa Mid Bloom</v>
      </c>
      <c r="C35" s="72"/>
      <c r="E35" s="130">
        <f>IF(FEEDVAL!D35&gt;0,FEEDVAL!D35,"")</f>
        <v>90</v>
      </c>
      <c r="F35" s="130">
        <f>FEEDVAL!E35</f>
        <v>16</v>
      </c>
      <c r="G35" s="130">
        <f>FEEDVAL!F35</f>
        <v>38</v>
      </c>
      <c r="H35" s="130">
        <f>FEEDVAL!G35</f>
        <v>50</v>
      </c>
      <c r="I35" s="130">
        <f>FEEDVAL!H35</f>
        <v>59.298</v>
      </c>
      <c r="J35" s="130">
        <f>FEEDVAL!I35</f>
        <v>1.15</v>
      </c>
      <c r="K35" s="130">
        <f>FEEDVAL!J35</f>
        <v>0.27</v>
      </c>
      <c r="L35" s="134">
        <f>FEEDVAL!K35*20</f>
        <v>130.81880793035202</v>
      </c>
      <c r="M35" s="134">
        <f t="shared" si="0"/>
        <v>117.73692713731681</v>
      </c>
      <c r="N35" s="131">
        <f>FEEDVAL!O35</f>
        <v>110.32186046511629</v>
      </c>
      <c r="O35" s="15"/>
      <c r="P35" s="17"/>
      <c r="Q35" s="17"/>
      <c r="R35" s="17"/>
      <c r="S35" s="17"/>
      <c r="T35" s="17"/>
      <c r="U35" s="17"/>
      <c r="V35" s="17"/>
      <c r="W35" s="17"/>
      <c r="Y35" s="17"/>
    </row>
    <row r="36" spans="2:25" ht="12" customHeight="1">
      <c r="B36" s="130" t="str">
        <f>FEEDVAL!B36</f>
        <v>Alfalfa Full Bloom</v>
      </c>
      <c r="C36" s="72"/>
      <c r="E36" s="130">
        <f>IF(FEEDVAL!D36&gt;0,FEEDVAL!D36,"")</f>
        <v>90</v>
      </c>
      <c r="F36" s="130">
        <f>FEEDVAL!E36</f>
        <v>13</v>
      </c>
      <c r="G36" s="130">
        <f>FEEDVAL!F36</f>
        <v>43</v>
      </c>
      <c r="H36" s="130">
        <f>FEEDVAL!G36</f>
        <v>60</v>
      </c>
      <c r="I36" s="130">
        <f>FEEDVAL!H36</f>
        <v>55.403000000000006</v>
      </c>
      <c r="J36" s="130">
        <f>FEEDVAL!I36</f>
        <v>1.1</v>
      </c>
      <c r="K36" s="130">
        <f>FEEDVAL!J36</f>
        <v>0.25</v>
      </c>
      <c r="L36" s="134">
        <f>FEEDVAL!K36*20</f>
        <v>119.46010887298971</v>
      </c>
      <c r="M36" s="134">
        <f t="shared" si="0"/>
        <v>107.51409798569074</v>
      </c>
      <c r="N36" s="131">
        <f>FEEDVAL!O36</f>
        <v>85.89612403100774</v>
      </c>
      <c r="O36" s="15"/>
      <c r="P36" s="17"/>
      <c r="Q36" s="17"/>
      <c r="R36" s="17"/>
      <c r="S36" s="17"/>
      <c r="T36" s="17"/>
      <c r="U36" s="17"/>
      <c r="V36" s="17"/>
      <c r="W36" s="17"/>
      <c r="Y36" s="17"/>
    </row>
    <row r="37" spans="2:25" ht="12" customHeight="1">
      <c r="B37" s="130" t="str">
        <f>FEEDVAL!B37</f>
        <v>Alf-Grass Bud</v>
      </c>
      <c r="C37" s="72"/>
      <c r="E37" s="130">
        <f>IF(FEEDVAL!D37&gt;0,FEEDVAL!D37,"")</f>
        <v>55</v>
      </c>
      <c r="F37" s="130">
        <f>FEEDVAL!E37</f>
        <v>18</v>
      </c>
      <c r="G37" s="130">
        <f>FEEDVAL!F37</f>
        <v>30</v>
      </c>
      <c r="H37" s="130">
        <f>FEEDVAL!G37</f>
        <v>45</v>
      </c>
      <c r="I37" s="130">
        <f>FEEDVAL!H37</f>
        <v>65.53</v>
      </c>
      <c r="J37" s="130">
        <f>FEEDVAL!I37</f>
        <v>1</v>
      </c>
      <c r="K37" s="130">
        <f>FEEDVAL!J37</f>
        <v>0.28</v>
      </c>
      <c r="L37" s="134">
        <f>FEEDVAL!K37*20</f>
        <v>143.9810055032007</v>
      </c>
      <c r="M37" s="134">
        <f t="shared" si="0"/>
        <v>79.18955302676038</v>
      </c>
      <c r="N37" s="131">
        <f>FEEDVAL!O37</f>
        <v>135.46253229974158</v>
      </c>
      <c r="O37" s="15"/>
      <c r="P37" s="17"/>
      <c r="Q37" s="17"/>
      <c r="R37" s="17"/>
      <c r="S37" s="17"/>
      <c r="T37" s="17"/>
      <c r="U37" s="17"/>
      <c r="V37" s="17"/>
      <c r="W37" s="17"/>
      <c r="Y37" s="17"/>
    </row>
    <row r="38" spans="2:25" ht="12" customHeight="1">
      <c r="B38" s="130" t="str">
        <f>FEEDVAL!B38</f>
        <v>Alf-Grass Mid Bloom</v>
      </c>
      <c r="C38" s="72"/>
      <c r="E38" s="130">
        <f>IF(FEEDVAL!D38&gt;0,FEEDVAL!D38,"")</f>
        <v>55</v>
      </c>
      <c r="F38" s="130">
        <f>FEEDVAL!E38</f>
        <v>15</v>
      </c>
      <c r="G38" s="130">
        <f>FEEDVAL!F38</f>
        <v>40</v>
      </c>
      <c r="H38" s="130">
        <f>FEEDVAL!G38</f>
        <v>55</v>
      </c>
      <c r="I38" s="130">
        <f>FEEDVAL!H38</f>
        <v>57.74000000000001</v>
      </c>
      <c r="J38" s="130">
        <f>FEEDVAL!I38</f>
        <v>0.85</v>
      </c>
      <c r="K38" s="130">
        <f>FEEDVAL!J38</f>
        <v>0.24</v>
      </c>
      <c r="L38" s="134">
        <f>FEEDVAL!K38*20</f>
        <v>125.43803094234488</v>
      </c>
      <c r="M38" s="134">
        <f t="shared" si="0"/>
        <v>68.99091701828968</v>
      </c>
      <c r="N38" s="131">
        <f>FEEDVAL!O38</f>
        <v>97.65750528541226</v>
      </c>
      <c r="O38" s="15"/>
      <c r="P38" s="17"/>
      <c r="Q38" s="17"/>
      <c r="R38" s="17"/>
      <c r="S38" s="17"/>
      <c r="T38" s="17"/>
      <c r="U38" s="17"/>
      <c r="V38" s="17"/>
      <c r="W38" s="17"/>
      <c r="Y38" s="17"/>
    </row>
    <row r="39" spans="2:25" ht="12" customHeight="1">
      <c r="B39" s="130" t="str">
        <f>FEEDVAL!B39</f>
        <v>Alf- Grass Mature</v>
      </c>
      <c r="C39" s="72"/>
      <c r="E39" s="130">
        <f>IF(FEEDVAL!D39&gt;0,FEEDVAL!D39,"")</f>
        <v>55</v>
      </c>
      <c r="F39" s="130">
        <f>FEEDVAL!E39</f>
        <v>12</v>
      </c>
      <c r="G39" s="130">
        <f>FEEDVAL!F39</f>
        <v>45</v>
      </c>
      <c r="H39" s="130">
        <f>FEEDVAL!G39</f>
        <v>60</v>
      </c>
      <c r="I39" s="130">
        <f>FEEDVAL!H39</f>
        <v>53.845000000000006</v>
      </c>
      <c r="J39" s="130">
        <f>FEEDVAL!I39</f>
        <v>0.75</v>
      </c>
      <c r="K39" s="130">
        <f>FEEDVAL!J39</f>
        <v>0.22</v>
      </c>
      <c r="L39" s="134">
        <f>FEEDVAL!K39*20</f>
        <v>113.93760852897344</v>
      </c>
      <c r="M39" s="134">
        <f t="shared" si="0"/>
        <v>62.66568469093539</v>
      </c>
      <c r="N39" s="131">
        <f>FEEDVAL!O39</f>
        <v>83.48062015503875</v>
      </c>
      <c r="O39" s="15"/>
      <c r="P39" s="17"/>
      <c r="Q39" s="17"/>
      <c r="R39" s="17"/>
      <c r="S39" s="17"/>
      <c r="T39" s="17"/>
      <c r="U39" s="17"/>
      <c r="V39" s="17"/>
      <c r="W39" s="17"/>
      <c r="Y39" s="17"/>
    </row>
    <row r="40" spans="2:25" ht="12" customHeight="1">
      <c r="B40" s="130" t="str">
        <f>FEEDVAL!B40</f>
        <v>Grass-Boot Stage</v>
      </c>
      <c r="C40" s="72"/>
      <c r="E40" s="130">
        <f>IF(FEEDVAL!D40&gt;0,FEEDVAL!D40,"")</f>
        <v>35</v>
      </c>
      <c r="F40" s="130">
        <f>FEEDVAL!E40</f>
        <v>16</v>
      </c>
      <c r="G40" s="130">
        <f>FEEDVAL!F40</f>
        <v>35</v>
      </c>
      <c r="H40" s="130">
        <f>FEEDVAL!G40</f>
        <v>55</v>
      </c>
      <c r="I40" s="130">
        <f>FEEDVAL!H40</f>
        <v>61.635000000000005</v>
      </c>
      <c r="J40" s="130">
        <f>FEEDVAL!I40</f>
        <v>0.5</v>
      </c>
      <c r="K40" s="130">
        <f>FEEDVAL!J40</f>
        <v>0.3</v>
      </c>
      <c r="L40" s="134">
        <f>FEEDVAL!K40*20</f>
        <v>133.3880386033584</v>
      </c>
      <c r="M40" s="134">
        <f t="shared" si="0"/>
        <v>46.685813511175446</v>
      </c>
      <c r="N40" s="131">
        <f>FEEDVAL!O40</f>
        <v>104.24524312896403</v>
      </c>
      <c r="O40" s="15"/>
      <c r="P40" s="17"/>
      <c r="Q40" s="17"/>
      <c r="R40" s="17"/>
      <c r="S40" s="17"/>
      <c r="T40" s="17"/>
      <c r="U40" s="17"/>
      <c r="V40" s="17"/>
      <c r="W40" s="17"/>
      <c r="Y40" s="17"/>
    </row>
    <row r="41" spans="2:25" ht="12" customHeight="1">
      <c r="B41" s="130" t="str">
        <f>FEEDVAL!B41</f>
        <v>Grass Heading</v>
      </c>
      <c r="C41" s="72"/>
      <c r="E41" s="130">
        <f>IF(FEEDVAL!D41&gt;0,FEEDVAL!D41,"")</f>
        <v>35</v>
      </c>
      <c r="F41" s="130">
        <f>FEEDVAL!E41</f>
        <v>12</v>
      </c>
      <c r="G41" s="130">
        <f>FEEDVAL!F41</f>
        <v>40</v>
      </c>
      <c r="H41" s="130">
        <f>FEEDVAL!G41</f>
        <v>65</v>
      </c>
      <c r="I41" s="130">
        <f>FEEDVAL!H41</f>
        <v>57.74000000000001</v>
      </c>
      <c r="J41" s="130">
        <f>FEEDVAL!I41</f>
        <v>0.5</v>
      </c>
      <c r="K41" s="130">
        <f>FEEDVAL!J41</f>
        <v>0.25</v>
      </c>
      <c r="L41" s="134">
        <f>FEEDVAL!K41*20</f>
        <v>120.28045222164737</v>
      </c>
      <c r="M41" s="134">
        <f t="shared" si="0"/>
        <v>42.09815827757657</v>
      </c>
      <c r="N41" s="131">
        <f>FEEDVAL!O41</f>
        <v>82.63327370304114</v>
      </c>
      <c r="O41" s="15"/>
      <c r="P41" s="17"/>
      <c r="Q41" s="17"/>
      <c r="R41" s="17"/>
      <c r="S41" s="17"/>
      <c r="T41" s="17"/>
      <c r="U41" s="17"/>
      <c r="V41" s="17"/>
      <c r="W41" s="17"/>
      <c r="Y41" s="17"/>
    </row>
    <row r="42" spans="2:25" ht="12" customHeight="1">
      <c r="B42" s="130" t="str">
        <f>FEEDVAL!B42</f>
        <v>Grass Mature</v>
      </c>
      <c r="C42" s="72"/>
      <c r="E42" s="130">
        <f>IF(FEEDVAL!D42&gt;0,FEEDVAL!D42,"")</f>
        <v>35</v>
      </c>
      <c r="F42" s="130">
        <f>FEEDVAL!E42</f>
        <v>7</v>
      </c>
      <c r="G42" s="130">
        <f>FEEDVAL!F42</f>
        <v>45</v>
      </c>
      <c r="H42" s="130">
        <f>FEEDVAL!G42</f>
        <v>75</v>
      </c>
      <c r="I42" s="130">
        <f>FEEDVAL!H42</f>
        <v>53.845000000000006</v>
      </c>
      <c r="J42" s="130">
        <f>FEEDVAL!I42</f>
        <v>0.45</v>
      </c>
      <c r="K42" s="130">
        <f>FEEDVAL!J42</f>
        <v>0.2</v>
      </c>
      <c r="L42" s="134">
        <f>FEEDVAL!K42*20</f>
        <v>105.59242684730128</v>
      </c>
      <c r="M42" s="134">
        <f t="shared" si="0"/>
        <v>36.95734939655545</v>
      </c>
      <c r="N42" s="131">
        <f>FEEDVAL!O42</f>
        <v>66.784496124031</v>
      </c>
      <c r="O42" s="15"/>
      <c r="P42" s="17"/>
      <c r="Q42" s="17"/>
      <c r="R42" s="17"/>
      <c r="S42" s="17"/>
      <c r="T42" s="17"/>
      <c r="U42" s="17"/>
      <c r="V42" s="17"/>
      <c r="W42" s="17"/>
      <c r="Y42" s="17"/>
    </row>
    <row r="43" spans="2:25" ht="12" customHeight="1">
      <c r="B43" s="130" t="str">
        <f>FEEDVAL!B43</f>
        <v>Corn Silage-Ex.</v>
      </c>
      <c r="C43" s="72"/>
      <c r="E43" s="130">
        <f>IF(FEEDVAL!D43&gt;0,FEEDVAL!D43,"")</f>
        <v>35</v>
      </c>
      <c r="F43" s="130">
        <f>FEEDVAL!E43</f>
        <v>8.2</v>
      </c>
      <c r="G43" s="130">
        <f>FEEDVAL!F43</f>
        <v>24</v>
      </c>
      <c r="H43" s="130">
        <f>FEEDVAL!G43</f>
        <v>45</v>
      </c>
      <c r="I43" s="130">
        <f>FEEDVAL!H43</f>
        <v>70.20400000000001</v>
      </c>
      <c r="J43" s="130">
        <f>FEEDVAL!I43</f>
        <v>0.3</v>
      </c>
      <c r="K43" s="130">
        <f>FEEDVAL!J43</f>
        <v>0.2</v>
      </c>
      <c r="L43" s="134">
        <f>FEEDVAL!K43*20</f>
        <v>134.6118903449727</v>
      </c>
      <c r="M43" s="134">
        <f t="shared" si="0"/>
        <v>47.11416162074044</v>
      </c>
      <c r="N43" s="131">
        <f>FEEDVAL!O43</f>
        <v>145.12454780361756</v>
      </c>
      <c r="O43" s="15"/>
      <c r="P43" s="17"/>
      <c r="Q43" s="17"/>
      <c r="R43" s="17"/>
      <c r="S43" s="17"/>
      <c r="T43" s="17"/>
      <c r="U43" s="17"/>
      <c r="V43" s="17"/>
      <c r="W43" s="17"/>
      <c r="Y43" s="17"/>
    </row>
    <row r="44" spans="2:25" ht="12" customHeight="1">
      <c r="B44" s="130" t="str">
        <f>FEEDVAL!B44</f>
        <v>Corn Silage V.G.</v>
      </c>
      <c r="C44" s="72"/>
      <c r="E44" s="130">
        <f>IF(FEEDVAL!D44&gt;0,FEEDVAL!D44,"")</f>
        <v>35</v>
      </c>
      <c r="F44" s="130">
        <f>FEEDVAL!E44</f>
        <v>7.5</v>
      </c>
      <c r="G44" s="130">
        <f>FEEDVAL!F44</f>
        <v>27</v>
      </c>
      <c r="H44" s="130">
        <f>FEEDVAL!G44</f>
        <v>48</v>
      </c>
      <c r="I44" s="130">
        <f>FEEDVAL!H44</f>
        <v>67.867</v>
      </c>
      <c r="J44" s="130">
        <f>FEEDVAL!I44</f>
        <v>0.3</v>
      </c>
      <c r="K44" s="130">
        <f>FEEDVAL!J44</f>
        <v>0.2</v>
      </c>
      <c r="L44" s="134">
        <f>FEEDVAL!K44*20</f>
        <v>129.645050141942</v>
      </c>
      <c r="M44" s="134">
        <f t="shared" si="0"/>
        <v>45.37576754967969</v>
      </c>
      <c r="N44" s="131">
        <f>FEEDVAL!O44</f>
        <v>131.5251937984496</v>
      </c>
      <c r="O44" s="15"/>
      <c r="P44" s="17"/>
      <c r="Q44" s="17"/>
      <c r="R44" s="17"/>
      <c r="S44" s="17"/>
      <c r="T44" s="17"/>
      <c r="U44" s="17"/>
      <c r="V44" s="17"/>
      <c r="W44" s="17"/>
      <c r="Y44" s="17"/>
    </row>
    <row r="45" spans="2:25" ht="12" customHeight="1">
      <c r="B45" s="130" t="str">
        <f>FEEDVAL!B45</f>
        <v>Corn Silage-Fair</v>
      </c>
      <c r="C45" s="72"/>
      <c r="E45" s="130">
        <f>IF(FEEDVAL!D45&gt;0,FEEDVAL!D45,"")</f>
        <v>35</v>
      </c>
      <c r="F45" s="130">
        <f>FEEDVAL!E45</f>
        <v>7.5</v>
      </c>
      <c r="G45" s="130">
        <f>FEEDVAL!F45</f>
        <v>33</v>
      </c>
      <c r="H45" s="130">
        <f>FEEDVAL!G45</f>
        <v>55</v>
      </c>
      <c r="I45" s="130">
        <f>FEEDVAL!H45</f>
        <v>63.193000000000005</v>
      </c>
      <c r="J45" s="130">
        <f>FEEDVAL!I45</f>
        <v>0.3</v>
      </c>
      <c r="K45" s="130">
        <f>FEEDVAL!J45</f>
        <v>0.2</v>
      </c>
      <c r="L45" s="134">
        <f>FEEDVAL!K45*20</f>
        <v>121.72557162715702</v>
      </c>
      <c r="M45" s="134">
        <f t="shared" si="0"/>
        <v>42.603950069504954</v>
      </c>
      <c r="N45" s="131">
        <f>FEEDVAL!O45</f>
        <v>106.88033826638477</v>
      </c>
      <c r="O45" s="15"/>
      <c r="P45" s="17"/>
      <c r="Q45" s="17"/>
      <c r="R45" s="17"/>
      <c r="S45" s="17"/>
      <c r="T45" s="17"/>
      <c r="U45" s="17"/>
      <c r="V45" s="17"/>
      <c r="W45" s="17"/>
      <c r="Y45" s="17"/>
    </row>
    <row r="46" spans="2:25" ht="12" customHeight="1">
      <c r="B46" s="130" t="str">
        <f>FEEDVAL!B46</f>
        <v>Corn Stalk Silage</v>
      </c>
      <c r="C46" s="72"/>
      <c r="E46" s="130">
        <f>IF(FEEDVAL!D46&gt;0,FEEDVAL!D46,"")</f>
        <v>35</v>
      </c>
      <c r="F46" s="130">
        <f>FEEDVAL!E46</f>
        <v>6.5</v>
      </c>
      <c r="G46" s="130">
        <f>FEEDVAL!F46</f>
        <v>38</v>
      </c>
      <c r="H46" s="130">
        <f>FEEDVAL!G46</f>
        <v>63</v>
      </c>
      <c r="I46" s="130">
        <f>FEEDVAL!H46</f>
        <v>59.298</v>
      </c>
      <c r="J46" s="130">
        <f>FEEDVAL!I46</f>
        <v>0.4</v>
      </c>
      <c r="K46" s="130">
        <f>FEEDVAL!J46</f>
        <v>0.1</v>
      </c>
      <c r="L46" s="134">
        <f>FEEDVAL!K46*20</f>
        <v>112.46442046112244</v>
      </c>
      <c r="M46" s="134">
        <f t="shared" si="0"/>
        <v>39.362547161392854</v>
      </c>
      <c r="N46" s="131">
        <f>FEEDVAL!O46</f>
        <v>87.55703211517167</v>
      </c>
      <c r="O46" s="15"/>
      <c r="P46" s="17"/>
      <c r="Q46" s="17"/>
      <c r="R46" s="17"/>
      <c r="S46" s="17"/>
      <c r="T46" s="17"/>
      <c r="U46" s="17"/>
      <c r="V46" s="17"/>
      <c r="W46" s="17"/>
      <c r="Y46" s="17"/>
    </row>
    <row r="47" spans="2:25" ht="12" customHeight="1">
      <c r="B47" s="130" t="str">
        <f>FEEDVAL!B47</f>
        <v>Corn Stover, Dry</v>
      </c>
      <c r="C47" s="72"/>
      <c r="E47" s="130">
        <f>IF(FEEDVAL!D47&gt;0,FEEDVAL!D47,"")</f>
        <v>35</v>
      </c>
      <c r="F47" s="130">
        <f>FEEDVAL!E47</f>
        <v>6</v>
      </c>
      <c r="G47" s="130">
        <f>FEEDVAL!F47</f>
        <v>40</v>
      </c>
      <c r="H47" s="130">
        <f>FEEDVAL!G47</f>
        <v>65</v>
      </c>
      <c r="I47" s="130">
        <f>FEEDVAL!H47</f>
        <v>57.74000000000001</v>
      </c>
      <c r="J47" s="130">
        <f>FEEDVAL!I47</f>
        <v>0.4</v>
      </c>
      <c r="K47" s="130">
        <f>FEEDVAL!J47</f>
        <v>0.1</v>
      </c>
      <c r="L47" s="134">
        <f>FEEDVAL!K47*20</f>
        <v>109.10523647121445</v>
      </c>
      <c r="M47" s="134">
        <f t="shared" si="0"/>
        <v>38.18683276492506</v>
      </c>
      <c r="N47" s="131">
        <f>FEEDVAL!O47</f>
        <v>82.63327370304114</v>
      </c>
      <c r="O47" s="15"/>
      <c r="P47" s="17"/>
      <c r="Q47" s="17"/>
      <c r="R47" s="17"/>
      <c r="S47" s="17"/>
      <c r="T47" s="17"/>
      <c r="U47" s="17"/>
      <c r="V47" s="17"/>
      <c r="W47" s="17"/>
      <c r="Y47" s="17"/>
    </row>
    <row r="48" spans="2:17" ht="12" customHeight="1">
      <c r="B48" s="130" t="str">
        <f>FEEDVAL!B48</f>
        <v>Sm. Grain -Early</v>
      </c>
      <c r="C48" s="72"/>
      <c r="E48" s="130">
        <f>IF(FEEDVAL!D48&gt;0,FEEDVAL!D48,"")</f>
        <v>35</v>
      </c>
      <c r="F48" s="130">
        <f>FEEDVAL!E48</f>
        <v>12.8</v>
      </c>
      <c r="G48" s="130">
        <f>FEEDVAL!F48</f>
        <v>35</v>
      </c>
      <c r="H48" s="130">
        <f>FEEDVAL!G48</f>
        <v>55</v>
      </c>
      <c r="I48" s="130">
        <f>FEEDVAL!H48</f>
        <v>61.635000000000005</v>
      </c>
      <c r="J48" s="130">
        <f>FEEDVAL!I48</f>
        <v>0.45</v>
      </c>
      <c r="K48" s="130">
        <f>FEEDVAL!J48</f>
        <v>0.28</v>
      </c>
      <c r="L48" s="134">
        <f>FEEDVAL!K48*20</f>
        <v>128.34116184765836</v>
      </c>
      <c r="M48" s="134">
        <f t="shared" si="0"/>
        <v>44.91940664668043</v>
      </c>
      <c r="N48" s="131">
        <f>FEEDVAL!O48</f>
        <v>104.24524312896403</v>
      </c>
      <c r="O48" s="20"/>
      <c r="P48" s="17"/>
      <c r="Q48" s="13"/>
    </row>
    <row r="49" spans="2:16" ht="12" customHeight="1">
      <c r="B49" s="130" t="str">
        <f>FEEDVAL!B49</f>
        <v>Sm. Grain -Late</v>
      </c>
      <c r="C49" s="72"/>
      <c r="E49" s="130">
        <f>IF(FEEDVAL!D49&gt;0,FEEDVAL!D49,"")</f>
        <v>35</v>
      </c>
      <c r="F49" s="130">
        <f>FEEDVAL!E49</f>
        <v>9</v>
      </c>
      <c r="G49" s="130">
        <f>FEEDVAL!F49</f>
        <v>42</v>
      </c>
      <c r="H49" s="130">
        <f>FEEDVAL!G49</f>
        <v>63</v>
      </c>
      <c r="I49" s="130">
        <f>FEEDVAL!H49</f>
        <v>56.182</v>
      </c>
      <c r="J49" s="130">
        <f>FEEDVAL!I49</f>
        <v>0.4</v>
      </c>
      <c r="K49" s="130">
        <f>FEEDVAL!J49</f>
        <v>0.25</v>
      </c>
      <c r="L49" s="134">
        <f>FEEDVAL!K49*20</f>
        <v>113.04103242815629</v>
      </c>
      <c r="M49" s="134">
        <f t="shared" si="0"/>
        <v>39.5643613498547</v>
      </c>
      <c r="N49" s="131">
        <f>FEEDVAL!O49</f>
        <v>82.95607235142117</v>
      </c>
      <c r="O49" s="20"/>
      <c r="P49" s="17"/>
    </row>
    <row r="50" spans="2:15" ht="12" customHeight="1">
      <c r="B50" s="130" t="str">
        <f>FEEDVAL!B50</f>
        <v>Straw</v>
      </c>
      <c r="C50" s="72"/>
      <c r="E50" s="130">
        <f>IF(FEEDVAL!D50&gt;0,FEEDVAL!D50,"")</f>
        <v>90</v>
      </c>
      <c r="F50" s="130">
        <f>FEEDVAL!E50</f>
        <v>4</v>
      </c>
      <c r="G50" s="130">
        <f>FEEDVAL!F50</f>
        <v>50</v>
      </c>
      <c r="H50" s="130">
        <f>FEEDVAL!G50</f>
        <v>75</v>
      </c>
      <c r="I50" s="130">
        <f>FEEDVAL!H50</f>
        <v>49.95</v>
      </c>
      <c r="J50" s="130">
        <f>FEEDVAL!I50</f>
        <v>0.3</v>
      </c>
      <c r="K50" s="130">
        <f>FEEDVAL!J50</f>
        <v>0.1</v>
      </c>
      <c r="L50" s="134">
        <f>FEEDVAL!K50*20</f>
        <v>92.74522762796937</v>
      </c>
      <c r="M50" s="134">
        <f t="shared" si="0"/>
        <v>83.47070486517242</v>
      </c>
      <c r="N50" s="131">
        <f>FEEDVAL!O50</f>
        <v>61.95348837209301</v>
      </c>
      <c r="O50" s="20"/>
    </row>
    <row r="51" spans="2:15" ht="12" customHeight="1">
      <c r="B51" s="130" t="str">
        <f>FEEDVAL!B51</f>
        <v>Cannery Waste, Corn </v>
      </c>
      <c r="C51" s="72"/>
      <c r="E51" s="130">
        <f>IF(FEEDVAL!D51&gt;0,FEEDVAL!D51,"")</f>
        <v>35</v>
      </c>
      <c r="F51" s="130">
        <f>FEEDVAL!E51</f>
        <v>7.5</v>
      </c>
      <c r="G51" s="130">
        <f>FEEDVAL!F51</f>
        <v>33</v>
      </c>
      <c r="H51" s="130">
        <f>FEEDVAL!G51</f>
        <v>55</v>
      </c>
      <c r="I51" s="130">
        <f>FEEDVAL!H51</f>
        <v>63.193000000000005</v>
      </c>
      <c r="J51" s="130">
        <f>FEEDVAL!I51</f>
        <v>0.35</v>
      </c>
      <c r="K51" s="130">
        <f>FEEDVAL!J51</f>
        <v>0.15</v>
      </c>
      <c r="L51" s="134">
        <f>FEEDVAL!K51*20</f>
        <v>121.11413657694646</v>
      </c>
      <c r="M51" s="134">
        <f t="shared" si="0"/>
        <v>42.389947801931264</v>
      </c>
      <c r="N51" s="131">
        <f>FEEDVAL!O51</f>
        <v>106.88033826638477</v>
      </c>
      <c r="O51" s="20"/>
    </row>
    <row r="52" spans="2:15" ht="12" customHeight="1">
      <c r="B52" s="130" t="str">
        <f>FEEDVAL!B52</f>
        <v>Oats &amp; Peas</v>
      </c>
      <c r="C52" s="72"/>
      <c r="E52" s="130">
        <f>IF(FEEDVAL!D52&gt;0,FEEDVAL!D52,"")</f>
        <v>35</v>
      </c>
      <c r="F52" s="130">
        <f>FEEDVAL!E52</f>
        <v>16</v>
      </c>
      <c r="G52" s="130">
        <f>FEEDVAL!F52</f>
        <v>33</v>
      </c>
      <c r="H52" s="130">
        <f>FEEDVAL!G52</f>
        <v>50</v>
      </c>
      <c r="I52" s="130">
        <f>FEEDVAL!H52</f>
        <v>63.193000000000005</v>
      </c>
      <c r="J52" s="130">
        <f>FEEDVAL!I52</f>
        <v>0.65</v>
      </c>
      <c r="K52" s="130">
        <f>FEEDVAL!J52</f>
        <v>0.27</v>
      </c>
      <c r="L52" s="134">
        <f>FEEDVAL!K52*20</f>
        <v>136.00113979924882</v>
      </c>
      <c r="M52" s="134">
        <f t="shared" si="0"/>
        <v>47.60039892973708</v>
      </c>
      <c r="N52" s="131">
        <f>FEEDVAL!O52</f>
        <v>117.56837209302324</v>
      </c>
      <c r="O52" s="20"/>
    </row>
    <row r="53" spans="2:15" ht="12" customHeight="1">
      <c r="B53" s="130" t="str">
        <f>FEEDVAL!B53</f>
        <v>Milage(Millet &amp; Soy)</v>
      </c>
      <c r="C53" s="72"/>
      <c r="E53" s="130">
        <f>IF(FEEDVAL!D53&gt;0,FEEDVAL!D53,"")</f>
        <v>35</v>
      </c>
      <c r="F53" s="130">
        <f>FEEDVAL!E53</f>
        <v>15</v>
      </c>
      <c r="G53" s="130">
        <f>FEEDVAL!F53</f>
        <v>37</v>
      </c>
      <c r="H53" s="130">
        <f>FEEDVAL!G53</f>
        <v>57</v>
      </c>
      <c r="I53" s="130">
        <f>FEEDVAL!H53</f>
        <v>60.077000000000005</v>
      </c>
      <c r="J53" s="130">
        <f>FEEDVAL!I53</f>
        <v>0.75</v>
      </c>
      <c r="K53" s="130">
        <f>FEEDVAL!J53</f>
        <v>0.26</v>
      </c>
      <c r="L53" s="134">
        <f>FEEDVAL!K53*20</f>
        <v>129.41558685020706</v>
      </c>
      <c r="M53" s="134">
        <f t="shared" si="0"/>
        <v>45.29545539757247</v>
      </c>
      <c r="N53" s="131">
        <f>FEEDVAL!O53</f>
        <v>98.04487964096286</v>
      </c>
      <c r="O53" s="20"/>
    </row>
    <row r="54" spans="2:36" ht="12" customHeight="1">
      <c r="B54" s="130" t="str">
        <f>FEEDVAL!B54</f>
        <v>Trical</v>
      </c>
      <c r="C54" s="72"/>
      <c r="E54" s="130">
        <f>IF(FEEDVAL!D54&gt;0,FEEDVAL!D54,"")</f>
        <v>35</v>
      </c>
      <c r="F54" s="130">
        <f>FEEDVAL!E54</f>
        <v>13</v>
      </c>
      <c r="G54" s="130">
        <f>FEEDVAL!F54</f>
        <v>34</v>
      </c>
      <c r="H54" s="130">
        <f>FEEDVAL!G54</f>
        <v>55</v>
      </c>
      <c r="I54" s="130">
        <f>FEEDVAL!H54</f>
        <v>62.414</v>
      </c>
      <c r="J54" s="130">
        <f>FEEDVAL!I54</f>
        <v>0.6</v>
      </c>
      <c r="K54" s="130">
        <f>FEEDVAL!J54</f>
        <v>0.23</v>
      </c>
      <c r="L54" s="134">
        <f>FEEDVAL!K54*20</f>
        <v>129.6208297225886</v>
      </c>
      <c r="M54" s="134">
        <f t="shared" si="0"/>
        <v>45.36729040290601</v>
      </c>
      <c r="N54" s="131">
        <f>FEEDVAL!O54</f>
        <v>105.5627906976744</v>
      </c>
      <c r="O54" s="9"/>
      <c r="P54" s="9"/>
      <c r="Q54" s="9"/>
      <c r="R54" s="9"/>
      <c r="X54" s="1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J54" s="22"/>
    </row>
    <row r="55" spans="2:18" ht="12" customHeight="1">
      <c r="B55" s="130" t="str">
        <f>FEEDVAL!B55</f>
        <v>Sorghum-Sudan -Early</v>
      </c>
      <c r="C55" s="74"/>
      <c r="E55" s="130">
        <f>IF(FEEDVAL!D55&gt;0,FEEDVAL!D55,"")</f>
        <v>90</v>
      </c>
      <c r="F55" s="130">
        <f>FEEDVAL!E55</f>
        <v>14</v>
      </c>
      <c r="G55" s="130">
        <f>FEEDVAL!F55</f>
        <v>35</v>
      </c>
      <c r="H55" s="130">
        <f>FEEDVAL!G55</f>
        <v>50</v>
      </c>
      <c r="I55" s="130">
        <f>FEEDVAL!H55</f>
        <v>61.635000000000005</v>
      </c>
      <c r="J55" s="130">
        <f>FEEDVAL!I55</f>
        <v>0.5</v>
      </c>
      <c r="K55" s="130">
        <f>FEEDVAL!J55</f>
        <v>0.23</v>
      </c>
      <c r="L55" s="134">
        <f>FEEDVAL!K55*20</f>
        <v>129.45618556139897</v>
      </c>
      <c r="M55" s="134">
        <f t="shared" si="0"/>
        <v>116.51056700525908</v>
      </c>
      <c r="N55" s="131">
        <f>FEEDVAL!O55</f>
        <v>114.66976744186046</v>
      </c>
      <c r="O55" s="9"/>
      <c r="P55" s="9"/>
      <c r="Q55" s="9"/>
      <c r="R55" s="9"/>
    </row>
    <row r="56" spans="2:16" ht="12" customHeight="1">
      <c r="B56" s="130" t="str">
        <f>FEEDVAL!B56</f>
        <v>Sorghum-Sudan -Late</v>
      </c>
      <c r="C56" s="72"/>
      <c r="E56" s="130">
        <f>IF(FEEDVAL!D56&gt;0,FEEDVAL!D56,"")</f>
        <v>90</v>
      </c>
      <c r="F56" s="130">
        <f>FEEDVAL!E56</f>
        <v>8.5</v>
      </c>
      <c r="G56" s="130">
        <f>FEEDVAL!F56</f>
        <v>40</v>
      </c>
      <c r="H56" s="130">
        <f>FEEDVAL!G56</f>
        <v>61</v>
      </c>
      <c r="I56" s="130">
        <f>FEEDVAL!H56</f>
        <v>57.74000000000001</v>
      </c>
      <c r="J56" s="130">
        <f>FEEDVAL!I56</f>
        <v>0.64</v>
      </c>
      <c r="K56" s="130">
        <f>FEEDVAL!J56</f>
        <v>0.23</v>
      </c>
      <c r="L56" s="134">
        <f>FEEDVAL!K56*20</f>
        <v>115.34050952779398</v>
      </c>
      <c r="M56" s="134">
        <f t="shared" si="0"/>
        <v>103.80645857501459</v>
      </c>
      <c r="N56" s="131">
        <f>FEEDVAL!O56</f>
        <v>88.05184902783071</v>
      </c>
      <c r="O56" s="9"/>
      <c r="P56" s="9"/>
    </row>
    <row r="57" spans="2:36" ht="12" customHeight="1">
      <c r="B57" s="130" t="s">
        <v>139</v>
      </c>
      <c r="C57" s="72"/>
      <c r="E57" s="130">
        <v>25</v>
      </c>
      <c r="F57" s="130">
        <v>6.8</v>
      </c>
      <c r="G57" s="130">
        <v>31.7</v>
      </c>
      <c r="H57" s="130">
        <v>52.9</v>
      </c>
      <c r="I57" s="130">
        <v>70</v>
      </c>
      <c r="J57" s="130">
        <v>0.23</v>
      </c>
      <c r="K57" s="130">
        <v>0.26</v>
      </c>
      <c r="L57" s="134">
        <f>FEEDVAL!K57*20</f>
        <v>129.6208297225886</v>
      </c>
      <c r="M57" s="134">
        <f>L57*E57/100</f>
        <v>32.40520743064715</v>
      </c>
      <c r="N57" s="131">
        <f>FEEDVAL!O57</f>
        <v>105.5627906976744</v>
      </c>
      <c r="O57" s="9"/>
      <c r="P57" s="9"/>
      <c r="Q57" s="9"/>
      <c r="R57" s="9"/>
      <c r="X57" s="16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J57" s="22"/>
    </row>
    <row r="58" spans="2:18" ht="12" customHeight="1">
      <c r="B58" s="40" t="s">
        <v>140</v>
      </c>
      <c r="C58" s="72"/>
      <c r="E58" s="42">
        <v>60.5</v>
      </c>
      <c r="F58" s="42">
        <v>14.4</v>
      </c>
      <c r="G58" s="42">
        <v>37.8</v>
      </c>
      <c r="H58" s="42">
        <v>57.7</v>
      </c>
      <c r="I58" s="8">
        <v>64</v>
      </c>
      <c r="J58" s="41">
        <v>0.93</v>
      </c>
      <c r="K58" s="41">
        <v>0.28</v>
      </c>
      <c r="L58" s="134">
        <f>FEEDVAL!K58*20</f>
        <v>129.45618556139897</v>
      </c>
      <c r="M58" s="134">
        <f>L58*F58/100</f>
        <v>18.641690720841453</v>
      </c>
      <c r="N58" s="131">
        <f>FEEDVAL!O58</f>
        <v>114.66976744186046</v>
      </c>
      <c r="O58" s="9"/>
      <c r="P58" s="9"/>
      <c r="Q58" s="9"/>
      <c r="R58" s="9"/>
    </row>
    <row r="59" spans="2:16" ht="12" customHeight="1">
      <c r="B59" s="40" t="s">
        <v>141</v>
      </c>
      <c r="C59" s="72"/>
      <c r="E59" s="42">
        <v>70.1</v>
      </c>
      <c r="F59" s="42">
        <v>20.3</v>
      </c>
      <c r="G59" s="42">
        <v>35.9</v>
      </c>
      <c r="H59" s="42">
        <v>48.5</v>
      </c>
      <c r="I59" s="8">
        <v>62</v>
      </c>
      <c r="J59" s="41">
        <v>1.01</v>
      </c>
      <c r="K59" s="41">
        <v>0.35</v>
      </c>
      <c r="L59" s="134">
        <f>FEEDVAL!K59*20</f>
        <v>115.34050952779398</v>
      </c>
      <c r="M59" s="134">
        <f>L59*F59/100</f>
        <v>23.41412343414218</v>
      </c>
      <c r="N59" s="131">
        <f>FEEDVAL!O59</f>
        <v>88.05184902783071</v>
      </c>
      <c r="O59" s="9"/>
      <c r="P59" s="9"/>
    </row>
    <row r="60" spans="2:17" ht="12" customHeight="1">
      <c r="B60" s="130"/>
      <c r="C60" s="72"/>
      <c r="E60" s="130"/>
      <c r="F60" s="130"/>
      <c r="G60" s="130"/>
      <c r="H60" s="130"/>
      <c r="I60" s="130"/>
      <c r="J60" s="130"/>
      <c r="K60" s="130"/>
      <c r="L60" s="134"/>
      <c r="M60" s="134"/>
      <c r="N60" s="131"/>
      <c r="O60" s="9"/>
      <c r="P60" s="9"/>
      <c r="Q60" s="9"/>
    </row>
    <row r="61" spans="2:14" ht="12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ht="12" customHeight="1"/>
    <row r="63" ht="12" customHeight="1"/>
    <row r="64" ht="12" customHeight="1"/>
    <row r="65" spans="1:14" ht="12" customHeight="1">
      <c r="A65" s="26"/>
      <c r="B65" s="27"/>
      <c r="C65" s="27"/>
      <c r="D65" s="27"/>
      <c r="E65" s="65"/>
      <c r="F65" s="66"/>
      <c r="G65" s="66"/>
      <c r="H65" s="66"/>
      <c r="I65" s="66"/>
      <c r="J65" s="66"/>
      <c r="K65" s="66"/>
      <c r="L65" s="69" t="s">
        <v>53</v>
      </c>
      <c r="M65" s="69" t="s">
        <v>137</v>
      </c>
      <c r="N65" s="61"/>
    </row>
    <row r="66" spans="1:20" ht="12" customHeight="1">
      <c r="A66" s="29"/>
      <c r="B66" s="55" t="s">
        <v>100</v>
      </c>
      <c r="C66" s="62"/>
      <c r="D66" s="32"/>
      <c r="E66" s="67" t="s">
        <v>55</v>
      </c>
      <c r="F66" s="67" t="s">
        <v>56</v>
      </c>
      <c r="G66" s="31" t="s">
        <v>57</v>
      </c>
      <c r="H66" s="67" t="s">
        <v>58</v>
      </c>
      <c r="I66" s="67" t="s">
        <v>59</v>
      </c>
      <c r="J66" s="67" t="s">
        <v>60</v>
      </c>
      <c r="K66" s="67" t="s">
        <v>61</v>
      </c>
      <c r="L66" s="70" t="s">
        <v>134</v>
      </c>
      <c r="M66" s="141" t="s">
        <v>134</v>
      </c>
      <c r="N66" s="98" t="s">
        <v>3</v>
      </c>
      <c r="P66" s="8"/>
      <c r="Q66" s="8"/>
      <c r="R66" s="8"/>
      <c r="S66" s="8"/>
      <c r="T66" s="13"/>
    </row>
    <row r="67" spans="1:18" ht="12" customHeight="1">
      <c r="A67" s="34"/>
      <c r="B67" s="57" t="s">
        <v>102</v>
      </c>
      <c r="C67" s="64"/>
      <c r="D67" s="35"/>
      <c r="E67" s="68" t="s">
        <v>67</v>
      </c>
      <c r="F67" s="68" t="s">
        <v>67</v>
      </c>
      <c r="G67" s="68" t="s">
        <v>67</v>
      </c>
      <c r="H67" s="68" t="s">
        <v>67</v>
      </c>
      <c r="I67" s="68" t="s">
        <v>67</v>
      </c>
      <c r="J67" s="68" t="s">
        <v>67</v>
      </c>
      <c r="K67" s="68" t="s">
        <v>67</v>
      </c>
      <c r="L67" s="68" t="s">
        <v>135</v>
      </c>
      <c r="M67" s="68" t="s">
        <v>136</v>
      </c>
      <c r="N67" s="142"/>
      <c r="P67" s="8"/>
      <c r="Q67" s="8"/>
      <c r="R67" s="13"/>
    </row>
    <row r="68" ht="12" customHeight="1">
      <c r="R68" s="23"/>
    </row>
    <row r="69" spans="4:6" ht="12" customHeight="1">
      <c r="D69"/>
      <c r="F69" s="1" t="s">
        <v>71</v>
      </c>
    </row>
    <row r="70" spans="2:18" ht="12" customHeight="1">
      <c r="B70" s="40" t="str">
        <f>IF(ISTEXT(FEEDVAL!B74),FEEDVAL!B74,"")</f>
        <v>Barley</v>
      </c>
      <c r="C70" s="40"/>
      <c r="D70" s="40"/>
      <c r="E70" s="148">
        <f>IF(FEEDVAL!E74&gt;0,FEEDVAL!E74,"")</f>
        <v>89</v>
      </c>
      <c r="F70" s="148">
        <f>IF(FEEDVAL!F74&gt;0,FEEDVAL!F74,"")</f>
        <v>13.9</v>
      </c>
      <c r="G70" s="129"/>
      <c r="H70" s="129"/>
      <c r="I70" s="148">
        <f>IF(FEEDVAL!G74&gt;0,FEEDVAL!G74,"")</f>
        <v>83</v>
      </c>
      <c r="J70" s="148">
        <f>IF(FEEDVAL!H74&gt;0,FEEDVAL!H74,"")</f>
        <v>0.05</v>
      </c>
      <c r="K70" s="148">
        <f>IF(FEEDVAL!I74&gt;0,FEEDVAL!I74,"")</f>
        <v>0.37</v>
      </c>
      <c r="L70" s="133">
        <f>IF(FEEDVAL!J74*20&gt;0,FEEDVAL!J74*20,"")</f>
        <v>166.3458309999574</v>
      </c>
      <c r="M70" s="133">
        <f>IF(FEEDVAL!K74*20&gt;0,FEEDVAL!K74*20,"")</f>
        <v>148.0477895899621</v>
      </c>
      <c r="N70" s="40"/>
      <c r="P70" s="4"/>
      <c r="Q70" s="4"/>
      <c r="R70" s="23"/>
    </row>
    <row r="71" spans="2:18" ht="12" customHeight="1">
      <c r="B71" s="40" t="str">
        <f>IF(ISTEXT(FEEDVAL!B75),FEEDVAL!B75,"")</f>
        <v>Beans, Navy</v>
      </c>
      <c r="C71" s="40"/>
      <c r="D71" s="40"/>
      <c r="E71" s="148">
        <f>IF(FEEDVAL!E75&gt;0,FEEDVAL!E75,"")</f>
        <v>90</v>
      </c>
      <c r="F71" s="148">
        <f>IF(FEEDVAL!F75&gt;0,FEEDVAL!F75,"")</f>
        <v>25.4</v>
      </c>
      <c r="G71" s="129"/>
      <c r="H71" s="129"/>
      <c r="I71" s="148">
        <f>IF(FEEDVAL!G75&gt;0,FEEDVAL!G75,"")</f>
        <v>83</v>
      </c>
      <c r="J71" s="148">
        <f>IF(FEEDVAL!H75&gt;0,FEEDVAL!H75,"")</f>
        <v>0.29</v>
      </c>
      <c r="K71" s="148">
        <f>IF(FEEDVAL!I75&gt;0,FEEDVAL!I75,"")</f>
        <v>0.54</v>
      </c>
      <c r="L71" s="133">
        <f>IF(FEEDVAL!J75*20&gt;0,FEEDVAL!J75*20,"")</f>
        <v>186.13207151114648</v>
      </c>
      <c r="M71" s="133">
        <f>IF(FEEDVAL!K75*20&gt;0,FEEDVAL!K75*20,"")</f>
        <v>167.51886436003184</v>
      </c>
      <c r="N71" s="40"/>
      <c r="P71" s="13"/>
      <c r="Q71" s="13"/>
      <c r="R71" s="23"/>
    </row>
    <row r="72" spans="2:18" ht="12" customHeight="1">
      <c r="B72" s="40" t="str">
        <f>IF(ISTEXT(FEEDVAL!B76),FEEDVAL!B76,"")</f>
        <v>Corn,Shelled 15% Moist</v>
      </c>
      <c r="C72" s="40"/>
      <c r="D72" s="40"/>
      <c r="E72" s="148">
        <f>IF(FEEDVAL!E76&gt;0,FEEDVAL!E76,"")</f>
        <v>85</v>
      </c>
      <c r="F72" s="148">
        <f>IF(FEEDVAL!F76&gt;0,FEEDVAL!F76,"")</f>
        <v>10.2</v>
      </c>
      <c r="G72" s="129"/>
      <c r="H72" s="129"/>
      <c r="I72" s="148">
        <f>IF(FEEDVAL!G76&gt;0,FEEDVAL!G76,"")</f>
        <v>88</v>
      </c>
      <c r="J72" s="148">
        <f>IF(FEEDVAL!H76&gt;0,FEEDVAL!H76,"")</f>
        <v>0.02</v>
      </c>
      <c r="K72" s="148">
        <f>IF(FEEDVAL!I76&gt;0,FEEDVAL!I76,"")</f>
        <v>0.3</v>
      </c>
      <c r="L72" s="133">
        <f>IF(FEEDVAL!J76*20&gt;0,FEEDVAL!J76*20,"")</f>
        <v>168.35497001808147</v>
      </c>
      <c r="M72" s="133">
        <f>IF(FEEDVAL!K76*20&gt;0,FEEDVAL!K76*20,"")</f>
        <v>143.10172451536926</v>
      </c>
      <c r="N72" s="40"/>
      <c r="P72" s="13"/>
      <c r="Q72" s="13"/>
      <c r="R72" s="23"/>
    </row>
    <row r="73" spans="2:14" ht="12" customHeight="1">
      <c r="B73" s="40" t="str">
        <f>IF(ISTEXT(FEEDVAL!B77),FEEDVAL!B77,"")</f>
        <v>Corn, H.M. Shelled</v>
      </c>
      <c r="C73" s="40"/>
      <c r="D73" s="40"/>
      <c r="E73" s="148">
        <f>IF(FEEDVAL!E77&gt;0,FEEDVAL!E77,"")</f>
        <v>70</v>
      </c>
      <c r="F73" s="148">
        <f>IF(FEEDVAL!F77&gt;0,FEEDVAL!F77,"")</f>
        <v>10.2</v>
      </c>
      <c r="G73" s="129"/>
      <c r="H73" s="129"/>
      <c r="I73" s="148">
        <f>IF(FEEDVAL!G77&gt;0,FEEDVAL!G77,"")</f>
        <v>88</v>
      </c>
      <c r="J73" s="148">
        <f>IF(FEEDVAL!H77&gt;0,FEEDVAL!H77,"")</f>
        <v>0.02</v>
      </c>
      <c r="K73" s="148">
        <f>IF(FEEDVAL!I77&gt;0,FEEDVAL!I77,"")</f>
        <v>0.3</v>
      </c>
      <c r="L73" s="133">
        <f>IF(FEEDVAL!J77*20&gt;0,FEEDVAL!J77*20,"")</f>
        <v>168.35497001808147</v>
      </c>
      <c r="M73" s="133">
        <f>IF(FEEDVAL!K77*20&gt;0,FEEDVAL!K77*20,"")</f>
        <v>117.84847901265701</v>
      </c>
      <c r="N73" s="40"/>
    </row>
    <row r="74" spans="2:18" ht="12" customHeight="1">
      <c r="B74" s="40" t="str">
        <f>IF(ISTEXT(FEEDVAL!B78),FEEDVAL!B78,"")</f>
        <v>Corn Cobs, Ground</v>
      </c>
      <c r="C74" s="40"/>
      <c r="D74" s="40"/>
      <c r="E74" s="148">
        <f>IF(FEEDVAL!E78&gt;0,FEEDVAL!E78,"")</f>
        <v>90</v>
      </c>
      <c r="F74" s="148">
        <f>IF(FEEDVAL!F78&gt;0,FEEDVAL!F78,"")</f>
        <v>3</v>
      </c>
      <c r="G74" s="129"/>
      <c r="H74" s="129"/>
      <c r="I74" s="148">
        <f>IF(FEEDVAL!G78&gt;0,FEEDVAL!G78,"")</f>
        <v>50</v>
      </c>
      <c r="J74" s="148">
        <f>IF(FEEDVAL!H78&gt;0,FEEDVAL!H78,"")</f>
        <v>0.1</v>
      </c>
      <c r="K74" s="148">
        <f>IF(FEEDVAL!I78&gt;0,FEEDVAL!I78,"")</f>
        <v>0.15</v>
      </c>
      <c r="L74" s="133">
        <f>IF(FEEDVAL!J78*20&gt;0,FEEDVAL!J78*20,"")</f>
        <v>91.57749540008626</v>
      </c>
      <c r="M74" s="133">
        <f>IF(FEEDVAL!K78*20&gt;0,FEEDVAL!K78*20,"")</f>
        <v>82.41974586007764</v>
      </c>
      <c r="N74" s="40"/>
      <c r="P74" s="13"/>
      <c r="Q74" s="13"/>
      <c r="R74" s="23"/>
    </row>
    <row r="75" spans="2:16" ht="12" customHeight="1">
      <c r="B75" s="40" t="str">
        <f>IF(ISTEXT(FEEDVAL!B79),FEEDVAL!B79,"")</f>
        <v>Ear Corn, 15% Moisture</v>
      </c>
      <c r="C75" s="40"/>
      <c r="D75" s="40"/>
      <c r="E75" s="148">
        <f>IF(FEEDVAL!E79&gt;0,FEEDVAL!E79,"")</f>
        <v>85</v>
      </c>
      <c r="F75" s="148">
        <f>IF(FEEDVAL!F79&gt;0,FEEDVAL!F79,"")</f>
        <v>9.3</v>
      </c>
      <c r="G75" s="129"/>
      <c r="H75" s="129"/>
      <c r="I75" s="148">
        <f>IF(FEEDVAL!G79&gt;0,FEEDVAL!G79,"")</f>
        <v>84</v>
      </c>
      <c r="J75" s="148">
        <f>IF(FEEDVAL!H79&gt;0,FEEDVAL!H79,"")</f>
        <v>0.04</v>
      </c>
      <c r="K75" s="148">
        <f>IF(FEEDVAL!I79&gt;0,FEEDVAL!I79,"")</f>
        <v>0.26</v>
      </c>
      <c r="L75" s="133">
        <f>IF(FEEDVAL!J79*20&gt;0,FEEDVAL!J79*20,"")</f>
        <v>159.73681443778355</v>
      </c>
      <c r="M75" s="133">
        <f>IF(FEEDVAL!K79*20&gt;0,FEEDVAL!K79*20,"")</f>
        <v>135.776292272116</v>
      </c>
      <c r="N75" s="40"/>
      <c r="P75" s="13"/>
    </row>
    <row r="76" spans="2:18" ht="12" customHeight="1">
      <c r="B76" s="40" t="str">
        <f>IF(ISTEXT(FEEDVAL!B80),FEEDVAL!B80,"")</f>
        <v>Ear Corn, High Moist. </v>
      </c>
      <c r="C76" s="40"/>
      <c r="D76" s="40"/>
      <c r="E76" s="148">
        <f>IF(FEEDVAL!E80&gt;0,FEEDVAL!E80,"")</f>
        <v>65</v>
      </c>
      <c r="F76" s="148">
        <f>IF(FEEDVAL!F80&gt;0,FEEDVAL!F80,"")</f>
        <v>9.3</v>
      </c>
      <c r="G76" s="129"/>
      <c r="H76" s="129"/>
      <c r="I76" s="148">
        <f>IF(FEEDVAL!G80&gt;0,FEEDVAL!G80,"")</f>
        <v>84</v>
      </c>
      <c r="J76" s="148">
        <f>IF(FEEDVAL!H80&gt;0,FEEDVAL!H80,"")</f>
        <v>0.04</v>
      </c>
      <c r="K76" s="148">
        <f>IF(FEEDVAL!I80&gt;0,FEEDVAL!I80,"")</f>
        <v>0.26</v>
      </c>
      <c r="L76" s="133">
        <f>IF(FEEDVAL!J80*20&gt;0,FEEDVAL!J80*20,"")</f>
        <v>159.73681443778355</v>
      </c>
      <c r="M76" s="133">
        <f>IF(FEEDVAL!K80*20&gt;0,FEEDVAL!K80*20,"")</f>
        <v>103.8289293845593</v>
      </c>
      <c r="N76" s="40"/>
      <c r="P76" s="13"/>
      <c r="Q76" s="13"/>
      <c r="R76" s="23"/>
    </row>
    <row r="77" spans="2:18" ht="12" customHeight="1">
      <c r="B77" s="40" t="str">
        <f>IF(ISTEXT(FEEDVAL!B81),FEEDVAL!B81,"")</f>
        <v>Canola Meal</v>
      </c>
      <c r="C77" s="40"/>
      <c r="D77" s="40"/>
      <c r="E77" s="148">
        <f>IF(FEEDVAL!E81&gt;0,FEEDVAL!E81,"")</f>
        <v>89</v>
      </c>
      <c r="F77" s="148">
        <f>IF(FEEDVAL!F81&gt;0,FEEDVAL!F81,"")</f>
        <v>40.5</v>
      </c>
      <c r="G77" s="129"/>
      <c r="H77" s="129"/>
      <c r="I77" s="148">
        <f>IF(FEEDVAL!G81&gt;0,FEEDVAL!G81,"")</f>
        <v>74.15730337078652</v>
      </c>
      <c r="J77" s="148">
        <f>IF(FEEDVAL!H81&gt;0,FEEDVAL!H81,"")</f>
        <v>0.38</v>
      </c>
      <c r="K77" s="148">
        <f>IF(FEEDVAL!I81&gt;0,FEEDVAL!I81,"")</f>
        <v>1.1</v>
      </c>
      <c r="L77" s="133">
        <f>IF(FEEDVAL!J81*20&gt;0,FEEDVAL!J81*20,"")</f>
        <v>201.5643669152702</v>
      </c>
      <c r="M77" s="133">
        <f>IF(FEEDVAL!K81*20&gt;0,FEEDVAL!K81*20,"")</f>
        <v>179.39228655459047</v>
      </c>
      <c r="N77" s="40"/>
      <c r="Q77" s="13"/>
      <c r="R77" s="13"/>
    </row>
    <row r="78" spans="2:18" ht="12" customHeight="1">
      <c r="B78" s="40" t="str">
        <f>IF(ISTEXT(FEEDVAL!B82),FEEDVAL!B82,"")</f>
        <v>Fish Meal, 60% C.P.</v>
      </c>
      <c r="C78" s="40"/>
      <c r="D78" s="40"/>
      <c r="E78" s="148">
        <f>IF(FEEDVAL!E82&gt;0,FEEDVAL!E82,"")</f>
        <v>92</v>
      </c>
      <c r="F78" s="148">
        <f>IF(FEEDVAL!F82&gt;0,FEEDVAL!F82,"")</f>
        <v>66.7</v>
      </c>
      <c r="G78" s="129"/>
      <c r="H78" s="129"/>
      <c r="I78" s="148">
        <f>IF(FEEDVAL!G82&gt;0,FEEDVAL!G82,"")</f>
        <v>69</v>
      </c>
      <c r="J78" s="148">
        <f>IF(FEEDVAL!H82&gt;0,FEEDVAL!H82,"")</f>
        <v>5.6</v>
      </c>
      <c r="K78" s="148">
        <f>IF(FEEDVAL!I82&gt;0,FEEDVAL!I82,"")</f>
        <v>3.16</v>
      </c>
      <c r="L78" s="133">
        <f>IF(FEEDVAL!J82*20&gt;0,FEEDVAL!J82*20,"")</f>
        <v>168.35497001808147</v>
      </c>
      <c r="M78" s="133">
        <f>IF(FEEDVAL!K82*20&gt;0,FEEDVAL!K82*20,"")</f>
        <v>143.10172451536926</v>
      </c>
      <c r="N78" s="40"/>
      <c r="Q78" s="13"/>
      <c r="R78" s="13"/>
    </row>
    <row r="79" spans="2:20" ht="12" customHeight="1">
      <c r="B79" s="40" t="str">
        <f>IF(ISTEXT(FEEDVAL!B83),FEEDVAL!B83,"")</f>
        <v>Hominy Feed</v>
      </c>
      <c r="C79" s="40"/>
      <c r="D79" s="40"/>
      <c r="E79" s="148">
        <f>IF(FEEDVAL!E83&gt;0,FEEDVAL!E83,"")</f>
        <v>90</v>
      </c>
      <c r="F79" s="148">
        <f>IF(FEEDVAL!F83&gt;0,FEEDVAL!F83,"")</f>
        <v>9</v>
      </c>
      <c r="G79" s="129"/>
      <c r="H79" s="129"/>
      <c r="I79" s="148">
        <f>IF(FEEDVAL!G83&gt;0,FEEDVAL!G83,"")</f>
        <v>86</v>
      </c>
      <c r="J79" s="148">
        <f>IF(FEEDVAL!H83&gt;0,FEEDVAL!H83,"")</f>
        <v>0.02</v>
      </c>
      <c r="K79" s="148">
        <f>IF(FEEDVAL!I83&gt;0,FEEDVAL!I83,"")</f>
        <v>0.3</v>
      </c>
      <c r="L79" s="133">
        <f>IF(FEEDVAL!J83*20&gt;0,FEEDVAL!J83*20,"")</f>
        <v>168.35497001808147</v>
      </c>
      <c r="M79" s="133">
        <f>IF(FEEDVAL!K83*20&gt;0,FEEDVAL!K83*20,"")</f>
        <v>117.84847901265701</v>
      </c>
      <c r="N79" s="40"/>
      <c r="P79" s="13"/>
      <c r="Q79" s="13"/>
      <c r="S79" s="13"/>
      <c r="T79" s="23"/>
    </row>
    <row r="80" spans="2:14" ht="12" customHeight="1">
      <c r="B80" s="40" t="str">
        <f>IF(ISTEXT(FEEDVAL!B84),FEEDVAL!B84,"")</f>
        <v>Oats, Lightwt &lt;30 LB/Bu</v>
      </c>
      <c r="C80" s="40"/>
      <c r="D80" s="40"/>
      <c r="E80" s="148">
        <f>IF(FEEDVAL!E84&gt;0,FEEDVAL!E84,"")</f>
        <v>90</v>
      </c>
      <c r="F80" s="148">
        <f>IF(FEEDVAL!F84&gt;0,FEEDVAL!F84,"")</f>
        <v>12</v>
      </c>
      <c r="G80" s="129"/>
      <c r="H80" s="129"/>
      <c r="I80" s="148">
        <f>IF(FEEDVAL!G84&gt;0,FEEDVAL!G84,"")</f>
        <v>72</v>
      </c>
      <c r="J80" s="148">
        <f>IF(FEEDVAL!H84&gt;0,FEEDVAL!H84,"")</f>
        <v>0.1</v>
      </c>
      <c r="K80" s="148">
        <f>IF(FEEDVAL!I84&gt;0,FEEDVAL!I84,"")</f>
        <v>0.25</v>
      </c>
      <c r="L80" s="133">
        <f>IF(FEEDVAL!J84*20&gt;0,FEEDVAL!J84*20,"")</f>
        <v>143.3083606283531</v>
      </c>
      <c r="M80" s="133">
        <f>IF(FEEDVAL!K84*20&gt;0,FEEDVAL!K84*20,"")</f>
        <v>128.9775245655178</v>
      </c>
      <c r="N80" s="40"/>
    </row>
    <row r="81" spans="2:14" ht="12" customHeight="1">
      <c r="B81" s="40" t="str">
        <f>IF(ISTEXT(FEEDVAL!B85),FEEDVAL!B85,"")</f>
        <v>Oats, 32-36 Lb/Bu</v>
      </c>
      <c r="C81" s="40"/>
      <c r="D81" s="40"/>
      <c r="E81" s="148">
        <f>IF(FEEDVAL!E85&gt;0,FEEDVAL!E85,"")</f>
        <v>89</v>
      </c>
      <c r="F81" s="148">
        <f>IF(FEEDVAL!F85&gt;0,FEEDVAL!F85,"")</f>
        <v>12.5</v>
      </c>
      <c r="G81" s="129"/>
      <c r="H81" s="129"/>
      <c r="I81" s="148">
        <f>IF(FEEDVAL!G85&gt;0,FEEDVAL!G85,"")</f>
        <v>76</v>
      </c>
      <c r="J81" s="148">
        <f>IF(FEEDVAL!H85&gt;0,FEEDVAL!H85,"")</f>
        <v>0.1</v>
      </c>
      <c r="K81" s="148">
        <f>IF(FEEDVAL!I85&gt;0,FEEDVAL!I85,"")</f>
        <v>0.32</v>
      </c>
      <c r="L81" s="133">
        <f>IF(FEEDVAL!J85*20&gt;0,FEEDVAL!J85*20,"")</f>
        <v>151.85961434013612</v>
      </c>
      <c r="M81" s="133">
        <f>IF(FEEDVAL!K85*20&gt;0,FEEDVAL!K85*20,"")</f>
        <v>135.15505676272116</v>
      </c>
      <c r="N81" s="40"/>
    </row>
    <row r="82" spans="2:20" ht="12" customHeight="1">
      <c r="B82" s="40" t="str">
        <f>IF(ISTEXT(FEEDVAL!B86),FEEDVAL!B86,"")</f>
        <v>Oats, Over 36 Lb/Bu</v>
      </c>
      <c r="C82" s="40"/>
      <c r="D82" s="40"/>
      <c r="E82" s="148">
        <f>IF(FEEDVAL!E86&gt;0,FEEDVAL!E86,"")</f>
        <v>89</v>
      </c>
      <c r="F82" s="148">
        <f>IF(FEEDVAL!F86&gt;0,FEEDVAL!F86,"")</f>
        <v>13.6</v>
      </c>
      <c r="G82" s="129"/>
      <c r="H82" s="129"/>
      <c r="I82" s="148">
        <f>IF(FEEDVAL!G86&gt;0,FEEDVAL!G86,"")</f>
        <v>80</v>
      </c>
      <c r="J82" s="148">
        <f>IF(FEEDVAL!H86&gt;0,FEEDVAL!H86,"")</f>
        <v>0.1</v>
      </c>
      <c r="K82" s="148">
        <f>IF(FEEDVAL!I86&gt;0,FEEDVAL!I86,"")</f>
        <v>0.32</v>
      </c>
      <c r="L82" s="133">
        <f>IF(FEEDVAL!J86*20&gt;0,FEEDVAL!J86*20,"")</f>
        <v>160.2196756651872</v>
      </c>
      <c r="M82" s="133">
        <f>IF(FEEDVAL!K86*20&gt;0,FEEDVAL!K86*20,"")</f>
        <v>142.5955113420166</v>
      </c>
      <c r="N82" s="40"/>
      <c r="P82" s="13"/>
      <c r="Q82" s="13"/>
      <c r="S82" s="13"/>
      <c r="T82" s="23"/>
    </row>
    <row r="83" spans="2:20" ht="12" customHeight="1">
      <c r="B83" s="40" t="str">
        <f>IF(ISTEXT(FEEDVAL!B87),FEEDVAL!B87,"")</f>
        <v>Soy Hulls</v>
      </c>
      <c r="C83" s="40"/>
      <c r="D83" s="40"/>
      <c r="E83" s="148">
        <f>IF(FEEDVAL!E87&gt;0,FEEDVAL!E87,"")</f>
        <v>90</v>
      </c>
      <c r="F83" s="148">
        <f>IF(FEEDVAL!F87&gt;0,FEEDVAL!F87,"")</f>
        <v>12.5</v>
      </c>
      <c r="G83" s="129"/>
      <c r="H83" s="129"/>
      <c r="I83" s="148">
        <f>IF(FEEDVAL!G87&gt;0,FEEDVAL!G87,"")</f>
        <v>78</v>
      </c>
      <c r="J83" s="148">
        <f>IF(FEEDVAL!H87&gt;0,FEEDVAL!H87,"")</f>
        <v>0.2</v>
      </c>
      <c r="K83" s="148">
        <f>IF(FEEDVAL!I87&gt;0,FEEDVAL!I87,"")</f>
        <v>0.4</v>
      </c>
      <c r="L83" s="133">
        <f>IF(FEEDVAL!J87*20&gt;0,FEEDVAL!J87*20,"")</f>
        <v>156.73685156448693</v>
      </c>
      <c r="M83" s="133">
        <f>IF(FEEDVAL!K87*20&gt;0,FEEDVAL!K87*20,"")</f>
        <v>141.06316640803823</v>
      </c>
      <c r="N83" s="40"/>
      <c r="P83" s="13"/>
      <c r="Q83" s="13"/>
      <c r="S83" s="13"/>
      <c r="T83" s="23"/>
    </row>
    <row r="84" spans="2:20" ht="12" customHeight="1">
      <c r="B84" s="40" t="str">
        <f>IF(ISTEXT(FEEDVAL!B88),FEEDVAL!B88,"")</f>
        <v>Soybeans, Heat Treated</v>
      </c>
      <c r="C84" s="40"/>
      <c r="D84" s="40"/>
      <c r="E84" s="148">
        <f>IF(FEEDVAL!E88&gt;0,FEEDVAL!E88,"")</f>
        <v>91</v>
      </c>
      <c r="F84" s="148">
        <f>IF(FEEDVAL!F88&gt;0,FEEDVAL!F88,"")</f>
        <v>41.7</v>
      </c>
      <c r="G84" s="129"/>
      <c r="H84" s="129"/>
      <c r="I84" s="148">
        <f>IF(FEEDVAL!G88&gt;0,FEEDVAL!G88,"")</f>
        <v>94</v>
      </c>
      <c r="J84" s="148">
        <f>IF(FEEDVAL!H88&gt;0,FEEDVAL!H88,"")</f>
        <v>0.28</v>
      </c>
      <c r="K84" s="148">
        <f>IF(FEEDVAL!I88&gt;0,FEEDVAL!I88,"")</f>
        <v>0.66</v>
      </c>
      <c r="L84" s="133">
        <f>IF(FEEDVAL!J88*20&gt;0,FEEDVAL!J88*20,"")</f>
        <v>230.0004257349721</v>
      </c>
      <c r="M84" s="133">
        <f>IF(FEEDVAL!K88*20&gt;0,FEEDVAL!K88*20,"")</f>
        <v>209.30038741882464</v>
      </c>
      <c r="N84" s="40"/>
      <c r="P84" s="13"/>
      <c r="Q84" s="13"/>
      <c r="S84" s="13"/>
      <c r="T84" s="23"/>
    </row>
    <row r="85" spans="2:20" ht="12" customHeight="1">
      <c r="B85" s="40" t="str">
        <f>IF(ISTEXT(FEEDVAL!B89),FEEDVAL!B89,"")</f>
        <v>Soybean Meal, 44% CP</v>
      </c>
      <c r="C85" s="40"/>
      <c r="D85" s="40"/>
      <c r="E85" s="148">
        <f>IF(FEEDVAL!E89&gt;0,FEEDVAL!E89,"")</f>
        <v>89</v>
      </c>
      <c r="F85" s="148">
        <f>IF(FEEDVAL!F89&gt;0,FEEDVAL!F89,"")</f>
        <v>49</v>
      </c>
      <c r="G85" s="129"/>
      <c r="H85" s="129"/>
      <c r="I85" s="148">
        <f>IF(FEEDVAL!G89&gt;0,FEEDVAL!G89,"")</f>
        <v>84</v>
      </c>
      <c r="J85" s="148">
        <f>IF(FEEDVAL!H89&gt;0,FEEDVAL!H89,"")</f>
        <v>0.35</v>
      </c>
      <c r="K85" s="148">
        <f>IF(FEEDVAL!I89&gt;0,FEEDVAL!I89,"")</f>
        <v>0.75</v>
      </c>
      <c r="L85" s="133">
        <f>IF(FEEDVAL!J89*20&gt;0,FEEDVAL!J89*20,"")</f>
        <v>225.11346240004357</v>
      </c>
      <c r="M85" s="133">
        <f>IF(FEEDVAL!K89*20&gt;0,FEEDVAL!K89*20,"")</f>
        <v>200.3509815360388</v>
      </c>
      <c r="N85" s="40"/>
      <c r="P85" s="13"/>
      <c r="Q85" s="13"/>
      <c r="S85" s="13"/>
      <c r="T85" s="23"/>
    </row>
    <row r="86" spans="2:20" ht="12" customHeight="1">
      <c r="B86" s="40" t="str">
        <f>IF(ISTEXT(FEEDVAL!B90),FEEDVAL!B90,"")</f>
        <v>Soybean Meal, 48% CP</v>
      </c>
      <c r="C86" s="40"/>
      <c r="D86" s="40"/>
      <c r="E86" s="148">
        <f>IF(FEEDVAL!E90&gt;0,FEEDVAL!E90,"")</f>
        <v>89</v>
      </c>
      <c r="F86" s="148">
        <f>IF(FEEDVAL!F90&gt;0,FEEDVAL!F90,"")</f>
        <v>53.9</v>
      </c>
      <c r="G86" s="129"/>
      <c r="H86" s="129"/>
      <c r="I86" s="148">
        <f>IF(FEEDVAL!G90&gt;0,FEEDVAL!G90,"")</f>
        <v>81</v>
      </c>
      <c r="J86" s="148">
        <f>IF(FEEDVAL!H90&gt;0,FEEDVAL!H90,"")</f>
        <v>0.35</v>
      </c>
      <c r="K86" s="148">
        <f>IF(FEEDVAL!I90&gt;0,FEEDVAL!I90,"")</f>
        <v>0.75</v>
      </c>
      <c r="L86" s="133">
        <f>IF(FEEDVAL!J90*20&gt;0,FEEDVAL!J90*20,"")</f>
        <v>227.080063425939</v>
      </c>
      <c r="M86" s="133">
        <f>IF(FEEDVAL!K90*20&gt;0,FEEDVAL!K90*20,"")</f>
        <v>202.1012564490857</v>
      </c>
      <c r="N86" s="40"/>
      <c r="P86" s="13"/>
      <c r="Q86" s="13"/>
      <c r="S86" s="13"/>
      <c r="T86" s="23"/>
    </row>
    <row r="87" spans="2:14" ht="12" customHeight="1">
      <c r="B87" s="40" t="str">
        <f>IF(ISTEXT(FEEDVAL!B91),FEEDVAL!B91,"")</f>
        <v>Sunflower Meal 28% CP</v>
      </c>
      <c r="C87" s="40"/>
      <c r="D87" s="40"/>
      <c r="E87" s="148">
        <f>IF(FEEDVAL!E91&gt;0,FEEDVAL!E91,"")</f>
        <v>89.4</v>
      </c>
      <c r="F87" s="148">
        <f>IF(FEEDVAL!F91&gt;0,FEEDVAL!F91,"")</f>
        <v>31</v>
      </c>
      <c r="G87" s="129"/>
      <c r="H87" s="129"/>
      <c r="I87" s="148">
        <f>IF(FEEDVAL!G91&gt;0,FEEDVAL!G91,"")</f>
        <v>59</v>
      </c>
      <c r="J87" s="148">
        <f>IF(FEEDVAL!H91&gt;0,FEEDVAL!H91,"")</f>
        <v>0.42</v>
      </c>
      <c r="K87" s="148">
        <f>IF(FEEDVAL!I91&gt;0,FEEDVAL!I91,"")</f>
        <v>1.02</v>
      </c>
      <c r="L87" s="133">
        <f>IF(FEEDVAL!J91*20&gt;0,FEEDVAL!J91*20,"")</f>
        <v>161.12283575300899</v>
      </c>
      <c r="M87" s="133">
        <f>IF(FEEDVAL!K91*20&gt;0,FEEDVAL!K91*20,"")</f>
        <v>144.04381516319003</v>
      </c>
      <c r="N87" s="40"/>
    </row>
    <row r="88" spans="2:14" ht="12" customHeight="1">
      <c r="B88" s="40" t="str">
        <f>IF(ISTEXT(FEEDVAL!B92),FEEDVAL!B92,"")</f>
        <v>Sunflower Meal 40% CP</v>
      </c>
      <c r="C88" s="40"/>
      <c r="D88" s="40"/>
      <c r="E88" s="148">
        <f>IF(FEEDVAL!E92&gt;0,FEEDVAL!E92,"")</f>
        <v>89.4</v>
      </c>
      <c r="F88" s="148">
        <f>IF(FEEDVAL!F92&gt;0,FEEDVAL!F92,"")</f>
        <v>45</v>
      </c>
      <c r="G88" s="129"/>
      <c r="H88" s="129"/>
      <c r="I88" s="148">
        <f>IF(FEEDVAL!G92&gt;0,FEEDVAL!G92,"")</f>
        <v>67</v>
      </c>
      <c r="J88" s="148">
        <f>IF(FEEDVAL!H92&gt;0,FEEDVAL!H92,"")</f>
        <v>0.28</v>
      </c>
      <c r="K88" s="148">
        <f>IF(FEEDVAL!I92&gt;0,FEEDVAL!I92,"")</f>
        <v>0.67</v>
      </c>
      <c r="L88" s="133">
        <f>IF(FEEDVAL!J92*20&gt;0,FEEDVAL!J92*20,"")</f>
        <v>189.15086867493486</v>
      </c>
      <c r="M88" s="133">
        <f>IF(FEEDVAL!K92*20&gt;0,FEEDVAL!K92*20,"")</f>
        <v>169.10087659539175</v>
      </c>
      <c r="N88" s="40"/>
    </row>
    <row r="89" spans="2:20" ht="12" customHeight="1">
      <c r="B89" s="40" t="str">
        <f>IF(ISTEXT(FEEDVAL!B93),FEEDVAL!B93,"")</f>
        <v>Triticale</v>
      </c>
      <c r="C89" s="40"/>
      <c r="D89" s="40"/>
      <c r="E89" s="148">
        <f>IF(FEEDVAL!E93&gt;0,FEEDVAL!E93,"")</f>
        <v>90</v>
      </c>
      <c r="F89" s="148">
        <f>IF(FEEDVAL!F93&gt;0,FEEDVAL!F93,"")</f>
        <v>12.5</v>
      </c>
      <c r="G89" s="129"/>
      <c r="H89" s="129"/>
      <c r="I89" s="148">
        <f>IF(FEEDVAL!G93&gt;0,FEEDVAL!G93,"")</f>
        <v>63</v>
      </c>
      <c r="J89" s="148">
        <f>IF(FEEDVAL!H93&gt;0,FEEDVAL!H93,"")</f>
        <v>0.05</v>
      </c>
      <c r="K89" s="148">
        <f>IF(FEEDVAL!I93&gt;0,FEEDVAL!I93,"")</f>
        <v>0.33</v>
      </c>
      <c r="L89" s="133">
        <f>IF(FEEDVAL!J93*20&gt;0,FEEDVAL!J93*20,"")</f>
        <v>129.8417317598928</v>
      </c>
      <c r="M89" s="133">
        <f>IF(FEEDVAL!K93*20&gt;0,FEEDVAL!K93*20,"")</f>
        <v>116.85755858390354</v>
      </c>
      <c r="N89" s="40"/>
      <c r="P89" s="13"/>
      <c r="Q89" s="13"/>
      <c r="S89" s="13"/>
      <c r="T89" s="23"/>
    </row>
    <row r="90" spans="2:20" ht="12" customHeight="1">
      <c r="B90" s="40" t="str">
        <f>IF(ISTEXT(FEEDVAL!B94),FEEDVAL!B94,"")</f>
        <v>Wheat, Grain</v>
      </c>
      <c r="C90" s="40"/>
      <c r="D90" s="40"/>
      <c r="E90" s="148">
        <f>IF(FEEDVAL!E94&gt;0,FEEDVAL!E94,"")</f>
        <v>89</v>
      </c>
      <c r="F90" s="148">
        <f>IF(FEEDVAL!F94&gt;0,FEEDVAL!F94,"")</f>
        <v>11.5</v>
      </c>
      <c r="G90" s="129"/>
      <c r="H90" s="129"/>
      <c r="I90" s="148">
        <f>IF(FEEDVAL!G94&gt;0,FEEDVAL!G94,"")</f>
        <v>88</v>
      </c>
      <c r="J90" s="148">
        <f>IF(FEEDVAL!H94&gt;0,FEEDVAL!H94,"")</f>
        <v>0.06</v>
      </c>
      <c r="K90" s="148">
        <f>IF(FEEDVAL!I94&gt;0,FEEDVAL!I94,"")</f>
        <v>0.58</v>
      </c>
      <c r="L90" s="133">
        <f>IF(FEEDVAL!J94*20&gt;0,FEEDVAL!J94*20,"")</f>
        <v>174.55636610533247</v>
      </c>
      <c r="M90" s="133">
        <f>IF(FEEDVAL!K94*20&gt;0,FEEDVAL!K94*20,"")</f>
        <v>155.3551658337459</v>
      </c>
      <c r="N90" s="40"/>
      <c r="P90" s="13"/>
      <c r="Q90" s="13"/>
      <c r="S90" s="13"/>
      <c r="T90" s="23"/>
    </row>
    <row r="91" spans="2:20" ht="12" customHeight="1">
      <c r="B91" s="40" t="str">
        <f>IF(ISTEXT(FEEDVAL!B95),FEEDVAL!B95,"")</f>
        <v>Wheat Bran</v>
      </c>
      <c r="C91" s="40"/>
      <c r="D91" s="40"/>
      <c r="E91" s="148">
        <f>IF(FEEDVAL!E95&gt;0,FEEDVAL!E95,"")</f>
        <v>90</v>
      </c>
      <c r="F91" s="148">
        <f>IF(FEEDVAL!F95&gt;0,FEEDVAL!F95,"")</f>
        <v>16.2</v>
      </c>
      <c r="G91" s="129"/>
      <c r="H91" s="129"/>
      <c r="I91" s="148">
        <f>IF(FEEDVAL!G95&gt;0,FEEDVAL!G95,"")</f>
        <v>70</v>
      </c>
      <c r="J91" s="148">
        <f>IF(FEEDVAL!H95&gt;0,FEEDVAL!H95,"")</f>
        <v>0.13</v>
      </c>
      <c r="K91" s="148">
        <f>IF(FEEDVAL!I95&gt;0,FEEDVAL!I95,"")</f>
        <v>0.8</v>
      </c>
      <c r="L91" s="133">
        <f>IF(FEEDVAL!J95*20&gt;0,FEEDVAL!J95*20,"")</f>
        <v>154.33200572182238</v>
      </c>
      <c r="M91" s="133">
        <f>IF(FEEDVAL!K95*20&gt;0,FEEDVAL!K95*20,"")</f>
        <v>138.89880514964014</v>
      </c>
      <c r="N91" s="40"/>
      <c r="P91" s="13"/>
      <c r="Q91" s="13"/>
      <c r="S91" s="13"/>
      <c r="T91" s="23"/>
    </row>
    <row r="92" spans="2:20" ht="12" customHeight="1">
      <c r="B92" s="40" t="str">
        <f>IF(ISTEXT(FEEDVAL!B96),FEEDVAL!B96,"")</f>
        <v>Wheat Middlings </v>
      </c>
      <c r="C92" s="40"/>
      <c r="D92" s="40"/>
      <c r="E92" s="148">
        <f>IF(FEEDVAL!E96&gt;0,FEEDVAL!E96,"")</f>
        <v>90</v>
      </c>
      <c r="F92" s="148">
        <f>IF(FEEDVAL!F96&gt;0,FEEDVAL!F96,"")</f>
        <v>18</v>
      </c>
      <c r="G92" s="129"/>
      <c r="H92" s="129"/>
      <c r="I92" s="148">
        <f>IF(FEEDVAL!G96&gt;0,FEEDVAL!G96,"")</f>
        <v>80</v>
      </c>
      <c r="J92" s="148">
        <f>IF(FEEDVAL!H96&gt;0,FEEDVAL!H96,"")</f>
        <v>0.12</v>
      </c>
      <c r="K92" s="148">
        <f>IF(FEEDVAL!I96&gt;0,FEEDVAL!I96,"")</f>
        <v>1.12</v>
      </c>
      <c r="L92" s="133">
        <f>IF(FEEDVAL!J96*20&gt;0,FEEDVAL!J96*20,"")</f>
        <v>178.65724830825923</v>
      </c>
      <c r="M92" s="133">
        <f>IF(FEEDVAL!K96*20&gt;0,FEEDVAL!K96*20,"")</f>
        <v>160.79152347743332</v>
      </c>
      <c r="N92" s="40"/>
      <c r="P92" s="13"/>
      <c r="Q92" s="13"/>
      <c r="S92" s="13"/>
      <c r="T92" s="23"/>
    </row>
    <row r="93" spans="2:16" ht="12" customHeight="1">
      <c r="B93" s="40" t="str">
        <f>IF(ISTEXT(FEEDVAL!B97),FEEDVAL!B97,"")</f>
        <v>Whey, 7% Solids</v>
      </c>
      <c r="C93" s="40"/>
      <c r="D93" s="40"/>
      <c r="E93" s="148">
        <f>IF(FEEDVAL!E97&gt;0,FEEDVAL!E97,"")</f>
        <v>7</v>
      </c>
      <c r="F93" s="148">
        <f>IF(FEEDVAL!F97&gt;0,FEEDVAL!F97,"")</f>
        <v>14</v>
      </c>
      <c r="G93" s="129"/>
      <c r="H93" s="129"/>
      <c r="I93" s="148">
        <f>IF(FEEDVAL!G97&gt;0,FEEDVAL!G97,"")</f>
        <v>78</v>
      </c>
      <c r="J93" s="148">
        <f>IF(FEEDVAL!H97&gt;0,FEEDVAL!H97,"")</f>
        <v>0.98</v>
      </c>
      <c r="K93" s="148">
        <f>IF(FEEDVAL!I97&gt;0,FEEDVAL!I97,"")</f>
        <v>0.81</v>
      </c>
      <c r="L93" s="133">
        <f>IF(FEEDVAL!J97*20&gt;0,FEEDVAL!J97*20,"")</f>
        <v>167.28170830416832</v>
      </c>
      <c r="M93" s="133">
        <f>IF(FEEDVAL!K97*20&gt;0,FEEDVAL!K97*20,"")</f>
        <v>11.709719581291784</v>
      </c>
      <c r="N93" s="40"/>
      <c r="P93" s="13"/>
    </row>
    <row r="94" spans="2:14" ht="12" customHeight="1">
      <c r="B94" s="40" t="str">
        <f>IF(ISTEXT(FEEDVAL!B98),FEEDVAL!B98,"")</f>
        <v>Milo</v>
      </c>
      <c r="C94" s="40"/>
      <c r="D94" s="40"/>
      <c r="E94" s="148">
        <f>IF(FEEDVAL!E98&gt;0,FEEDVAL!E98,"")</f>
        <v>89</v>
      </c>
      <c r="F94" s="148">
        <f>IF(FEEDVAL!F98&gt;0,FEEDVAL!F98,"")</f>
        <v>10</v>
      </c>
      <c r="G94" s="129"/>
      <c r="H94" s="129"/>
      <c r="I94" s="148">
        <f>IF(FEEDVAL!G98&gt;0,FEEDVAL!G98,"")</f>
        <v>84</v>
      </c>
      <c r="J94" s="148">
        <f>IF(FEEDVAL!H98&gt;0,FEEDVAL!H98,"")</f>
        <v>0.04</v>
      </c>
      <c r="K94" s="148">
        <f>IF(FEEDVAL!I98&gt;0,FEEDVAL!I98,"")</f>
        <v>0.3</v>
      </c>
      <c r="L94" s="133">
        <f>IF(FEEDVAL!J98*20&gt;0,FEEDVAL!J98*20,"")</f>
        <v>161.3464421083974</v>
      </c>
      <c r="M94" s="133">
        <f>IF(FEEDVAL!K98*20&gt;0,FEEDVAL!K98*20,"")</f>
        <v>143.5983334764737</v>
      </c>
      <c r="N94" s="40"/>
    </row>
    <row r="95" spans="2:20" ht="12" customHeight="1">
      <c r="B95" s="40">
        <f>IF(ISTEXT(FEEDVAL!B99),FEEDVAL!B99,"")</f>
      </c>
      <c r="C95" s="40"/>
      <c r="D95" s="40"/>
      <c r="E95" s="148">
        <f>IF(FEEDVAL!E99&gt;0,FEEDVAL!E99,"")</f>
      </c>
      <c r="F95" s="148">
        <f>IF(FEEDVAL!F99&gt;0,FEEDVAL!F99,"")</f>
      </c>
      <c r="G95" s="129"/>
      <c r="H95" s="129"/>
      <c r="I95" s="148">
        <f>IF(FEEDVAL!G99&gt;0,FEEDVAL!G99,"")</f>
      </c>
      <c r="J95" s="148">
        <f>IF(FEEDVAL!H99&gt;0,FEEDVAL!H99,"")</f>
      </c>
      <c r="K95" s="148">
        <f>IF(FEEDVAL!I99&gt;0,FEEDVAL!I99,"")</f>
      </c>
      <c r="L95" s="133">
        <f>IF(FEEDVAL!J99*20&gt;0,FEEDVAL!J99*20,"")</f>
      </c>
      <c r="M95" s="133">
        <f>IF(FEEDVAL!K99*20&gt;0,FEEDVAL!K99*20,"")</f>
      </c>
      <c r="N95" s="40"/>
      <c r="P95" s="13"/>
      <c r="Q95" s="13"/>
      <c r="S95" s="13"/>
      <c r="T95" s="23"/>
    </row>
    <row r="96" spans="2:20" ht="12" customHeight="1">
      <c r="B96" s="40">
        <f>IF(ISTEXT(FEEDVAL!B100),FEEDVAL!B100,"")</f>
      </c>
      <c r="C96" s="40"/>
      <c r="D96" s="40"/>
      <c r="E96" s="148">
        <f>IF(FEEDVAL!E100&gt;0,FEEDVAL!E100,"")</f>
      </c>
      <c r="F96" s="148">
        <f>IF(FEEDVAL!F100&gt;0,FEEDVAL!F100,"")</f>
      </c>
      <c r="G96" s="129"/>
      <c r="H96" s="129"/>
      <c r="I96" s="148">
        <f>IF(FEEDVAL!G100&gt;0,FEEDVAL!G100,"")</f>
      </c>
      <c r="J96" s="148">
        <f>IF(FEEDVAL!H100&gt;0,FEEDVAL!H100,"")</f>
      </c>
      <c r="K96" s="148">
        <f>IF(FEEDVAL!I100&gt;0,FEEDVAL!I100,"")</f>
      </c>
      <c r="L96" s="133">
        <f>IF(FEEDVAL!J100*20&gt;0,FEEDVAL!J100*20,"")</f>
      </c>
      <c r="M96" s="133">
        <f>IF(FEEDVAL!K100*20&gt;0,FEEDVAL!K100*20,"")</f>
      </c>
      <c r="N96" s="40"/>
      <c r="P96" s="13"/>
      <c r="Q96" s="13"/>
      <c r="S96" s="13"/>
      <c r="T96" s="23"/>
    </row>
    <row r="97" spans="2:20" ht="12" customHeight="1">
      <c r="B97" s="40">
        <f>IF(ISTEXT(FEEDVAL!B101),FEEDVAL!B101,"")</f>
      </c>
      <c r="C97" s="40"/>
      <c r="D97" s="40"/>
      <c r="E97" s="148">
        <f>IF(FEEDVAL!E101&gt;0,FEEDVAL!E101,"")</f>
      </c>
      <c r="F97" s="148">
        <f>IF(FEEDVAL!F101&gt;0,FEEDVAL!F101,"")</f>
      </c>
      <c r="G97" s="129"/>
      <c r="H97" s="129"/>
      <c r="I97" s="148">
        <f>IF(FEEDVAL!G101&gt;0,FEEDVAL!G101,"")</f>
      </c>
      <c r="J97" s="148">
        <f>IF(FEEDVAL!H101&gt;0,FEEDVAL!H101,"")</f>
      </c>
      <c r="K97" s="148">
        <f>IF(FEEDVAL!I101&gt;0,FEEDVAL!I101,"")</f>
      </c>
      <c r="L97" s="133">
        <f>IF(FEEDVAL!J101*20&gt;0,FEEDVAL!J101*20,"")</f>
      </c>
      <c r="M97" s="133">
        <f>IF(FEEDVAL!K101*20&gt;0,FEEDVAL!K101*20,"")</f>
      </c>
      <c r="N97" s="40"/>
      <c r="P97" s="13"/>
      <c r="Q97" s="13"/>
      <c r="S97" s="13"/>
      <c r="T97" s="23"/>
    </row>
    <row r="98" spans="2:20" ht="12" customHeight="1">
      <c r="B98" s="40">
        <f>IF(ISTEXT(FEEDVAL!B102),FEEDVAL!B102,"")</f>
      </c>
      <c r="C98" s="40"/>
      <c r="D98" s="40"/>
      <c r="E98" s="148">
        <f>IF(FEEDVAL!E102&gt;0,FEEDVAL!E102,"")</f>
      </c>
      <c r="F98" s="148">
        <f>IF(FEEDVAL!F102&gt;0,FEEDVAL!F102,"")</f>
      </c>
      <c r="G98" s="129"/>
      <c r="H98" s="129"/>
      <c r="I98" s="148">
        <f>IF(FEEDVAL!G102&gt;0,FEEDVAL!G102,"")</f>
      </c>
      <c r="J98" s="148">
        <f>IF(FEEDVAL!H102&gt;0,FEEDVAL!H102,"")</f>
      </c>
      <c r="K98" s="148">
        <f>IF(FEEDVAL!I102&gt;0,FEEDVAL!I102,"")</f>
      </c>
      <c r="L98" s="133">
        <f>IF(FEEDVAL!J102*20&gt;0,FEEDVAL!J102*20,"")</f>
      </c>
      <c r="M98" s="133">
        <f>IF(FEEDVAL!K102*20&gt;0,FEEDVAL!K102*20,"")</f>
      </c>
      <c r="N98" s="40"/>
      <c r="P98" s="13"/>
      <c r="Q98" s="13"/>
      <c r="S98" s="13"/>
      <c r="T98" s="23"/>
    </row>
    <row r="99" spans="2:20" ht="12" customHeight="1">
      <c r="B99" s="40">
        <f>IF(ISTEXT(FEEDVAL!B103),FEEDVAL!B103,"")</f>
      </c>
      <c r="C99" s="40"/>
      <c r="D99" s="40"/>
      <c r="E99" s="148">
        <f>IF(FEEDVAL!E103&gt;0,FEEDVAL!E103,"")</f>
      </c>
      <c r="F99" s="148">
        <f>IF(FEEDVAL!F103&gt;0,FEEDVAL!F103,"")</f>
      </c>
      <c r="G99" s="129"/>
      <c r="H99" s="129"/>
      <c r="I99" s="148">
        <f>IF(FEEDVAL!G103&gt;0,FEEDVAL!G103,"")</f>
      </c>
      <c r="J99" s="148">
        <f>IF(FEEDVAL!H103&gt;0,FEEDVAL!H103,"")</f>
      </c>
      <c r="K99" s="148">
        <f>IF(FEEDVAL!I103&gt;0,FEEDVAL!I103,"")</f>
      </c>
      <c r="L99" s="133">
        <f>IF(FEEDVAL!J103*20&gt;0,FEEDVAL!J103*20,"")</f>
      </c>
      <c r="M99" s="133">
        <f>IF(FEEDVAL!K103*20&gt;0,FEEDVAL!K103*20,"")</f>
      </c>
      <c r="N99" s="40"/>
      <c r="P99" s="13"/>
      <c r="Q99" s="13"/>
      <c r="S99" s="13"/>
      <c r="T99" s="23"/>
    </row>
    <row r="100" spans="2:20" ht="12" customHeight="1">
      <c r="B100" s="40">
        <f>IF(ISTEXT(FEEDVAL!B104),FEEDVAL!B104,"")</f>
      </c>
      <c r="C100" s="40"/>
      <c r="D100" s="40"/>
      <c r="E100" s="148">
        <f>IF(FEEDVAL!E104&gt;0,FEEDVAL!E104,"")</f>
      </c>
      <c r="F100" s="148">
        <f>IF(FEEDVAL!F104&gt;0,FEEDVAL!F104,"")</f>
      </c>
      <c r="G100" s="129"/>
      <c r="H100" s="129"/>
      <c r="I100" s="148">
        <f>IF(FEEDVAL!G104&gt;0,FEEDVAL!G104,"")</f>
      </c>
      <c r="J100" s="148">
        <f>IF(FEEDVAL!H104&gt;0,FEEDVAL!H104,"")</f>
      </c>
      <c r="K100" s="148">
        <f>IF(FEEDVAL!I104&gt;0,FEEDVAL!I104,"")</f>
      </c>
      <c r="L100" s="133">
        <f>IF(FEEDVAL!J104*20&gt;0,FEEDVAL!J104*20,"")</f>
      </c>
      <c r="M100" s="133">
        <f>IF(FEEDVAL!K104*20&gt;0,FEEDVAL!K104*20,"")</f>
      </c>
      <c r="N100" s="40"/>
      <c r="P100" s="13"/>
      <c r="Q100" s="13"/>
      <c r="S100" s="13"/>
      <c r="T100" s="23"/>
    </row>
    <row r="101" spans="2:19" ht="12" customHeight="1">
      <c r="B101" s="40">
        <f>IF(ISTEXT(FEEDVAL!B105),FEEDVAL!B105,"")</f>
      </c>
      <c r="C101" s="40"/>
      <c r="D101" s="40"/>
      <c r="E101" s="148">
        <f>IF(FEEDVAL!E105&gt;0,FEEDVAL!E105,"")</f>
      </c>
      <c r="F101" s="148">
        <f>IF(FEEDVAL!F105&gt;0,FEEDVAL!F105,"")</f>
      </c>
      <c r="G101" s="129"/>
      <c r="H101" s="129"/>
      <c r="I101" s="148">
        <f>IF(FEEDVAL!G105&gt;0,FEEDVAL!G105,"")</f>
      </c>
      <c r="J101" s="148">
        <f>IF(FEEDVAL!H105&gt;0,FEEDVAL!H105,"")</f>
      </c>
      <c r="K101" s="148">
        <f>IF(FEEDVAL!I105&gt;0,FEEDVAL!I105,"")</f>
      </c>
      <c r="L101" s="133">
        <f>IF(FEEDVAL!J105*20&gt;0,FEEDVAL!J105*20,"")</f>
      </c>
      <c r="M101" s="133">
        <f>IF(FEEDVAL!K105*20&gt;0,FEEDVAL!K105*20,"")</f>
      </c>
      <c r="N101" s="40"/>
      <c r="P101" s="13"/>
      <c r="Q101" s="13"/>
      <c r="S101" s="13"/>
    </row>
    <row r="102" spans="2:20" ht="12" customHeight="1">
      <c r="B102" s="40">
        <f>IF(ISTEXT(FEEDVAL!B106),FEEDVAL!B106,"")</f>
      </c>
      <c r="C102" s="40"/>
      <c r="D102" s="40"/>
      <c r="E102" s="148">
        <f>IF(FEEDVAL!E106&gt;0,FEEDVAL!E106,"")</f>
      </c>
      <c r="F102" s="148">
        <f>IF(FEEDVAL!F106&gt;0,FEEDVAL!F106,"")</f>
      </c>
      <c r="G102" s="129"/>
      <c r="H102" s="129"/>
      <c r="I102" s="148">
        <f>IF(FEEDVAL!G106&gt;0,FEEDVAL!G106,"")</f>
      </c>
      <c r="J102" s="148">
        <f>IF(FEEDVAL!H106&gt;0,FEEDVAL!H106,"")</f>
      </c>
      <c r="K102" s="148">
        <f>IF(FEEDVAL!I106&gt;0,FEEDVAL!I106,"")</f>
      </c>
      <c r="L102" s="133">
        <f>IF(FEEDVAL!J106*20&gt;0,FEEDVAL!J106*20,"")</f>
      </c>
      <c r="M102" s="133">
        <f>IF(FEEDVAL!K106*20&gt;0,FEEDVAL!K106*20,"")</f>
      </c>
      <c r="N102" s="40"/>
      <c r="P102" s="13"/>
      <c r="Q102" s="13"/>
      <c r="S102" s="13"/>
      <c r="T102" s="23"/>
    </row>
    <row r="103" spans="2:20" ht="12" customHeight="1">
      <c r="B103" s="40">
        <f>IF(ISTEXT(FEEDVAL!B107),FEEDVAL!B107,"")</f>
      </c>
      <c r="C103" s="40"/>
      <c r="D103" s="40"/>
      <c r="E103" s="148">
        <f>IF(FEEDVAL!E107&gt;0,FEEDVAL!E107,"")</f>
      </c>
      <c r="F103" s="148">
        <f>IF(FEEDVAL!F107&gt;0,FEEDVAL!F107,"")</f>
      </c>
      <c r="G103" s="129"/>
      <c r="H103" s="129"/>
      <c r="I103" s="148">
        <f>IF(FEEDVAL!G107&gt;0,FEEDVAL!G107,"")</f>
      </c>
      <c r="J103" s="148">
        <f>IF(FEEDVAL!H107&gt;0,FEEDVAL!H107,"")</f>
      </c>
      <c r="K103" s="148">
        <f>IF(FEEDVAL!I107&gt;0,FEEDVAL!I107,"")</f>
      </c>
      <c r="L103" s="133">
        <f>IF(FEEDVAL!J107*20&gt;0,FEEDVAL!J107*20,"")</f>
      </c>
      <c r="M103" s="133">
        <f>IF(FEEDVAL!K107*20&gt;0,FEEDVAL!K107*20,"")</f>
      </c>
      <c r="N103" s="40"/>
      <c r="P103" s="13"/>
      <c r="Q103" s="13"/>
      <c r="S103" s="13"/>
      <c r="T103" s="23"/>
    </row>
    <row r="104" spans="2:20" ht="12" customHeight="1">
      <c r="B104" s="40">
        <f>IF(ISTEXT(FEEDVAL!B108),FEEDVAL!B108,"")</f>
      </c>
      <c r="C104" s="40"/>
      <c r="D104" s="40"/>
      <c r="E104" s="148">
        <f>IF(FEEDVAL!E108&gt;0,FEEDVAL!E108,"")</f>
      </c>
      <c r="F104" s="148">
        <f>IF(FEEDVAL!F108&gt;0,FEEDVAL!F108,"")</f>
      </c>
      <c r="G104" s="129"/>
      <c r="H104" s="129"/>
      <c r="I104" s="148">
        <f>IF(FEEDVAL!G108&gt;0,FEEDVAL!G108,"")</f>
      </c>
      <c r="J104" s="148">
        <f>IF(FEEDVAL!H108&gt;0,FEEDVAL!H108,"")</f>
      </c>
      <c r="K104" s="148">
        <f>IF(FEEDVAL!I108&gt;0,FEEDVAL!I108,"")</f>
      </c>
      <c r="L104" s="133">
        <f>IF(FEEDVAL!J108*20&gt;0,FEEDVAL!J108*20,"")</f>
      </c>
      <c r="M104" s="133">
        <f>IF(FEEDVAL!K108*20&gt;0,FEEDVAL!K108*20,"")</f>
      </c>
      <c r="N104" s="40"/>
      <c r="P104" s="13"/>
      <c r="Q104" s="13"/>
      <c r="T104" s="23"/>
    </row>
    <row r="105" spans="2:16" ht="12" customHeight="1">
      <c r="B105" s="40">
        <f>IF(ISTEXT(FEEDVAL!B109),FEEDVAL!B109,"")</f>
      </c>
      <c r="C105" s="40"/>
      <c r="D105" s="40"/>
      <c r="E105" s="148">
        <f>IF(FEEDVAL!E109&gt;0,FEEDVAL!E109,"")</f>
      </c>
      <c r="F105" s="148">
        <f>IF(FEEDVAL!F109&gt;0,FEEDVAL!F109,"")</f>
      </c>
      <c r="G105" s="129"/>
      <c r="H105" s="129"/>
      <c r="I105" s="148">
        <f>IF(FEEDVAL!G109&gt;0,FEEDVAL!G109,"")</f>
      </c>
      <c r="J105" s="148">
        <f>IF(FEEDVAL!H109&gt;0,FEEDVAL!H109,"")</f>
      </c>
      <c r="K105" s="148">
        <f>IF(FEEDVAL!I109&gt;0,FEEDVAL!I109,"")</f>
      </c>
      <c r="L105" s="133">
        <f>IF(FEEDVAL!J109*20&gt;0,FEEDVAL!J109*20,"")</f>
      </c>
      <c r="M105" s="133">
        <f>IF(FEEDVAL!K109*20&gt;0,FEEDVAL!K109*20,"")</f>
      </c>
      <c r="N105" s="40"/>
      <c r="P105" s="8"/>
    </row>
    <row r="106" spans="2:20" ht="12" customHeight="1">
      <c r="B106" s="40">
        <f>IF(ISTEXT(FEEDVAL!B110),FEEDVAL!B110,"")</f>
      </c>
      <c r="C106" s="40"/>
      <c r="D106" s="40"/>
      <c r="E106" s="148">
        <f>IF(FEEDVAL!E110&gt;0,FEEDVAL!E110,"")</f>
      </c>
      <c r="F106" s="148">
        <f>IF(FEEDVAL!F110&gt;0,FEEDVAL!F110,"")</f>
      </c>
      <c r="G106" s="129"/>
      <c r="H106" s="129"/>
      <c r="I106" s="148">
        <f>IF(FEEDVAL!G110&gt;0,FEEDVAL!G110,"")</f>
      </c>
      <c r="J106" s="148">
        <f>IF(FEEDVAL!H110&gt;0,FEEDVAL!H110,"")</f>
      </c>
      <c r="K106" s="148">
        <f>IF(FEEDVAL!I110&gt;0,FEEDVAL!I110,"")</f>
      </c>
      <c r="L106" s="133">
        <f>IF(FEEDVAL!J110*20&gt;0,FEEDVAL!J110*20,"")</f>
      </c>
      <c r="M106" s="133">
        <f>IF(FEEDVAL!K110*20&gt;0,FEEDVAL!K110*20,"")</f>
      </c>
      <c r="N106" s="40"/>
      <c r="P106" s="13"/>
      <c r="Q106" s="13"/>
      <c r="S106" s="13"/>
      <c r="T106" s="23"/>
    </row>
    <row r="107" spans="2:20" ht="12" customHeight="1">
      <c r="B107" s="40">
        <f>IF(ISTEXT(FEEDVAL!B111),FEEDVAL!B111,"")</f>
      </c>
      <c r="C107" s="40"/>
      <c r="D107" s="40"/>
      <c r="E107" s="148">
        <f>IF(FEEDVAL!E111&gt;0,FEEDVAL!E111,"")</f>
      </c>
      <c r="F107" s="148">
        <f>IF(FEEDVAL!F111&gt;0,FEEDVAL!F111,"")</f>
      </c>
      <c r="G107" s="129"/>
      <c r="H107" s="129"/>
      <c r="I107" s="148">
        <f>IF(FEEDVAL!G111&gt;0,FEEDVAL!G111,"")</f>
      </c>
      <c r="J107" s="148">
        <f>IF(FEEDVAL!H111&gt;0,FEEDVAL!H111,"")</f>
      </c>
      <c r="K107" s="148">
        <f>IF(FEEDVAL!I111&gt;0,FEEDVAL!I111,"")</f>
      </c>
      <c r="L107" s="133">
        <f>IF(FEEDVAL!J111*20&gt;0,FEEDVAL!J111*20,"")</f>
      </c>
      <c r="M107" s="133">
        <f>IF(FEEDVAL!K111*20&gt;0,FEEDVAL!K111*20,"")</f>
      </c>
      <c r="N107" s="40"/>
      <c r="P107" s="13"/>
      <c r="Q107" s="13"/>
      <c r="S107" s="13"/>
      <c r="T107" s="23"/>
    </row>
    <row r="108" spans="2:20" ht="12" customHeight="1">
      <c r="B108" s="40">
        <f>IF(ISTEXT(FEEDVAL!B112),FEEDVAL!B112,"")</f>
      </c>
      <c r="C108" s="40"/>
      <c r="D108" s="40"/>
      <c r="E108" s="148">
        <f>IF(FEEDVAL!E112&gt;0,FEEDVAL!E112,"")</f>
      </c>
      <c r="F108" s="148">
        <f>IF(FEEDVAL!F112&gt;0,FEEDVAL!F112,"")</f>
      </c>
      <c r="G108" s="129"/>
      <c r="H108" s="129"/>
      <c r="I108" s="148">
        <f>IF(FEEDVAL!G112&gt;0,FEEDVAL!G112,"")</f>
      </c>
      <c r="J108" s="148">
        <f>IF(FEEDVAL!H112&gt;0,FEEDVAL!H112,"")</f>
      </c>
      <c r="K108" s="148">
        <f>IF(FEEDVAL!I112&gt;0,FEEDVAL!I112,"")</f>
      </c>
      <c r="L108" s="133">
        <f>IF(FEEDVAL!J112*20&gt;0,FEEDVAL!J112*20,"")</f>
      </c>
      <c r="M108" s="133">
        <f>IF(FEEDVAL!K112*20&gt;0,FEEDVAL!K112*20,"")</f>
      </c>
      <c r="N108" s="40"/>
      <c r="P108" s="13"/>
      <c r="Q108" s="13"/>
      <c r="S108" s="13"/>
      <c r="T108" s="23"/>
    </row>
    <row r="109" spans="2:20" ht="12" customHeight="1">
      <c r="B109" s="40">
        <f>IF(ISTEXT(FEEDVAL!B113),FEEDVAL!B113,"")</f>
      </c>
      <c r="C109" s="40"/>
      <c r="D109" s="40"/>
      <c r="E109" s="148">
        <f>IF(FEEDVAL!E113&gt;0,FEEDVAL!E113,"")</f>
      </c>
      <c r="F109" s="148">
        <f>IF(FEEDVAL!F113&gt;0,FEEDVAL!F113,"")</f>
      </c>
      <c r="G109" s="129"/>
      <c r="H109" s="129"/>
      <c r="I109" s="148">
        <f>IF(FEEDVAL!G113&gt;0,FEEDVAL!G113,"")</f>
      </c>
      <c r="J109" s="148">
        <f>IF(FEEDVAL!H113&gt;0,FEEDVAL!H113,"")</f>
      </c>
      <c r="K109" s="148">
        <f>IF(FEEDVAL!I113&gt;0,FEEDVAL!I113,"")</f>
      </c>
      <c r="L109" s="133">
        <f>IF(FEEDVAL!J113*20&gt;0,FEEDVAL!J113*20,"")</f>
      </c>
      <c r="M109" s="133">
        <f>IF(FEEDVAL!K113*20&gt;0,FEEDVAL!K113*20,"")</f>
      </c>
      <c r="N109" s="40"/>
      <c r="P109" s="13"/>
      <c r="Q109" s="13"/>
      <c r="S109" s="13"/>
      <c r="T109" s="23"/>
    </row>
    <row r="110" spans="2:20" ht="12" customHeight="1">
      <c r="B110" s="40">
        <f>IF(ISTEXT(FEEDVAL!B114),FEEDVAL!B114,"")</f>
      </c>
      <c r="C110" s="40"/>
      <c r="D110" s="40"/>
      <c r="E110" s="148">
        <f>IF(FEEDVAL!E114&gt;0,FEEDVAL!E114,"")</f>
      </c>
      <c r="F110" s="148">
        <f>IF(FEEDVAL!F114&gt;0,FEEDVAL!F114,"")</f>
      </c>
      <c r="G110" s="129"/>
      <c r="H110" s="129"/>
      <c r="I110" s="148">
        <f>IF(FEEDVAL!G114&gt;0,FEEDVAL!G114,"")</f>
      </c>
      <c r="J110" s="148">
        <f>IF(FEEDVAL!H114&gt;0,FEEDVAL!H114,"")</f>
      </c>
      <c r="K110" s="148">
        <f>IF(FEEDVAL!I114&gt;0,FEEDVAL!I114,"")</f>
      </c>
      <c r="L110" s="133">
        <f>IF(FEEDVAL!J114*20&gt;0,FEEDVAL!J114*20,"")</f>
      </c>
      <c r="M110" s="133">
        <f>IF(FEEDVAL!K114*20&gt;0,FEEDVAL!K114*20,"")</f>
      </c>
      <c r="N110" s="40"/>
      <c r="P110" s="13"/>
      <c r="Q110" s="13"/>
      <c r="S110" s="13"/>
      <c r="T110" s="23"/>
    </row>
    <row r="111" spans="2:20" ht="12" customHeight="1">
      <c r="B111" s="40">
        <f>IF(ISTEXT(FEEDVAL!B115),FEEDVAL!B115,"")</f>
      </c>
      <c r="C111" s="40"/>
      <c r="D111" s="40"/>
      <c r="E111" s="148">
        <f>IF(FEEDVAL!E115&gt;0,FEEDVAL!E115,"")</f>
      </c>
      <c r="F111" s="148">
        <f>IF(FEEDVAL!F115&gt;0,FEEDVAL!F115,"")</f>
      </c>
      <c r="G111" s="129"/>
      <c r="H111" s="129"/>
      <c r="I111" s="148">
        <f>IF(FEEDVAL!G115&gt;0,FEEDVAL!G115,"")</f>
      </c>
      <c r="J111" s="148">
        <f>IF(FEEDVAL!H115&gt;0,FEEDVAL!H115,"")</f>
      </c>
      <c r="K111" s="148">
        <f>IF(FEEDVAL!I115&gt;0,FEEDVAL!I115,"")</f>
      </c>
      <c r="L111" s="133">
        <f>IF(FEEDVAL!J115*20&gt;0,FEEDVAL!J115*20,"")</f>
      </c>
      <c r="M111" s="133">
        <f>IF(FEEDVAL!K115*20&gt;0,FEEDVAL!K115*20,"")</f>
      </c>
      <c r="N111" s="40"/>
      <c r="P111" s="13"/>
      <c r="Q111" s="13"/>
      <c r="S111" s="13"/>
      <c r="T111" s="23"/>
    </row>
    <row r="112" spans="2:18" ht="12" customHeight="1">
      <c r="B112" s="40">
        <f>IF(ISTEXT(FEEDVAL!B116),FEEDVAL!B116,"")</f>
      </c>
      <c r="C112" s="40"/>
      <c r="D112" s="40"/>
      <c r="E112" s="148">
        <f>IF(FEEDVAL!E116&gt;0,FEEDVAL!E116,"")</f>
      </c>
      <c r="F112" s="148">
        <f>IF(FEEDVAL!F116&gt;0,FEEDVAL!F116,"")</f>
      </c>
      <c r="G112" s="129"/>
      <c r="H112" s="129"/>
      <c r="I112" s="148">
        <f>IF(FEEDVAL!G116&gt;0,FEEDVAL!G116,"")</f>
      </c>
      <c r="J112" s="148">
        <f>IF(FEEDVAL!H116&gt;0,FEEDVAL!H116,"")</f>
      </c>
      <c r="K112" s="148">
        <f>IF(FEEDVAL!I116&gt;0,FEEDVAL!I116,"")</f>
      </c>
      <c r="L112" s="133">
        <f>IF(FEEDVAL!J116*20&gt;0,FEEDVAL!J116*20,"")</f>
      </c>
      <c r="M112" s="133">
        <f>IF(FEEDVAL!K116*20&gt;0,FEEDVAL!K116*20,"")</f>
      </c>
      <c r="N112" s="40"/>
      <c r="P112" s="13"/>
      <c r="Q112" s="13"/>
      <c r="R112" s="23"/>
    </row>
    <row r="113" spans="2:17" ht="12" customHeight="1">
      <c r="B113" s="40">
        <f>IF(ISTEXT(FEEDVAL!B117),FEEDVAL!B117,"")</f>
      </c>
      <c r="C113" s="40"/>
      <c r="D113" s="40"/>
      <c r="E113" s="148">
        <f>IF(FEEDVAL!E117&gt;0,FEEDVAL!E117,"")</f>
      </c>
      <c r="F113" s="148">
        <f>IF(FEEDVAL!F117&gt;0,FEEDVAL!F117,"")</f>
      </c>
      <c r="G113" s="129"/>
      <c r="H113" s="129"/>
      <c r="I113" s="148">
        <f>IF(FEEDVAL!G117&gt;0,FEEDVAL!G117,"")</f>
      </c>
      <c r="J113" s="148">
        <f>IF(FEEDVAL!H117&gt;0,FEEDVAL!H117,"")</f>
      </c>
      <c r="K113" s="148">
        <f>IF(FEEDVAL!I117&gt;0,FEEDVAL!I117,"")</f>
      </c>
      <c r="L113" s="133">
        <f>IF(FEEDVAL!J117*20&gt;0,FEEDVAL!J117*20,"")</f>
      </c>
      <c r="M113" s="133">
        <f>IF(FEEDVAL!K117*20&gt;0,FEEDVAL!K117*20,"")</f>
      </c>
      <c r="N113" s="40"/>
      <c r="P113" s="13"/>
      <c r="Q113" s="13"/>
    </row>
    <row r="114" spans="2:14" ht="12" customHeight="1">
      <c r="B114" s="40">
        <f>IF(ISTEXT(FEEDVAL!B118),FEEDVAL!B118,"")</f>
      </c>
      <c r="C114" s="40"/>
      <c r="D114" s="40"/>
      <c r="E114" s="40">
        <f>IF(FEEDVAL!E118&gt;0,FEEDVAL!E118,"")</f>
      </c>
      <c r="F114" s="40">
        <f>IF(FEEDVAL!F118&gt;0,FEEDVAL!F118,"")</f>
      </c>
      <c r="I114" s="40">
        <f>IF(FEEDVAL!G118&gt;0,FEEDVAL!G118,"")</f>
      </c>
      <c r="J114" s="40">
        <f>IF(FEEDVAL!H118&gt;0,FEEDVAL!H118,"")</f>
      </c>
      <c r="K114" s="40">
        <f>IF(FEEDVAL!I118&gt;0,FEEDVAL!I118,"")</f>
      </c>
      <c r="L114" s="133">
        <f>IF(FEEDVAL!J118*20&gt;0,FEEDVAL!J118*20,"")</f>
      </c>
      <c r="M114" s="133">
        <f>IF(FEEDVAL!K118*20&gt;0,FEEDVAL!K118*20,"")</f>
      </c>
      <c r="N114" s="40"/>
    </row>
    <row r="116" spans="2:13" ht="12.75">
      <c r="B116" s="1" t="s">
        <v>128</v>
      </c>
      <c r="C116" s="3"/>
      <c r="D116" s="3"/>
      <c r="E116" s="3"/>
      <c r="F116" s="3"/>
      <c r="G116" s="3"/>
      <c r="H116" s="3"/>
      <c r="I116" s="3"/>
      <c r="J116" s="3"/>
      <c r="K116" s="9"/>
      <c r="L116" s="24"/>
      <c r="M116" s="24"/>
    </row>
    <row r="117" spans="3:13" ht="12.75">
      <c r="C117" s="1" t="s">
        <v>129</v>
      </c>
      <c r="D117" s="3"/>
      <c r="E117" s="3"/>
      <c r="F117" s="3"/>
      <c r="G117" s="3"/>
      <c r="H117" s="3"/>
      <c r="I117" s="3"/>
      <c r="J117" s="3"/>
      <c r="K117" s="9"/>
      <c r="L117" s="24"/>
      <c r="M117" s="24"/>
    </row>
    <row r="118" spans="1:13" ht="8.25" customHeight="1">
      <c r="A118" s="25"/>
      <c r="B118" s="1" t="s">
        <v>130</v>
      </c>
      <c r="C118" s="3"/>
      <c r="D118" s="3"/>
      <c r="E118" s="3"/>
      <c r="F118" s="3"/>
      <c r="G118" s="3"/>
      <c r="H118" s="3"/>
      <c r="I118" s="3"/>
      <c r="J118" s="3"/>
      <c r="K118" s="3"/>
      <c r="L118" s="24"/>
      <c r="M118" s="24"/>
    </row>
    <row r="119" spans="2:14" ht="12.75">
      <c r="B119" s="5" t="str">
        <f>CONCATENATE("Value of Grain-Concentrate Ingredients for 20% Changes in the Price of Corn ($",C12,"/Ton) and Soy ($",F12,"Ton)")</f>
        <v>Value of Grain-Concentrate Ingredients for 20% Changes in the Price of Corn ($142/Ton) and Soy ($210Ton)</v>
      </c>
      <c r="H119" s="35"/>
      <c r="I119" s="35"/>
      <c r="M119" s="4"/>
      <c r="N119" s="4"/>
    </row>
    <row r="120" spans="1:13" ht="12.75">
      <c r="A120" s="26"/>
      <c r="B120" s="92"/>
      <c r="C120" s="27"/>
      <c r="D120" s="27"/>
      <c r="E120" s="81"/>
      <c r="F120" s="27"/>
      <c r="G120" s="81"/>
      <c r="H120" s="150" t="s">
        <v>138</v>
      </c>
      <c r="I120" s="151"/>
      <c r="J120" s="81"/>
      <c r="K120" s="81"/>
      <c r="L120" s="81"/>
      <c r="M120" s="28"/>
    </row>
    <row r="121" spans="1:13" ht="12.75">
      <c r="A121" s="29"/>
      <c r="B121" s="76" t="str">
        <f>FEEDVAL!B126</f>
        <v>Corn, Shelled </v>
      </c>
      <c r="C121" s="32"/>
      <c r="D121" s="32"/>
      <c r="E121" s="83">
        <f>FEEDVAL!D126</f>
        <v>114.2857142857143</v>
      </c>
      <c r="F121" s="83">
        <f>FEEDVAL!E126</f>
        <v>142.8571428571429</v>
      </c>
      <c r="G121" s="83">
        <f>FEEDVAL!F126</f>
        <v>171.42857142857142</v>
      </c>
      <c r="H121" s="83">
        <f>FEEDVAL!G126</f>
        <v>114.2857142857143</v>
      </c>
      <c r="I121" s="83">
        <f>FEEDVAL!H126</f>
        <v>142.8571428571429</v>
      </c>
      <c r="J121" s="83">
        <f>FEEDVAL!I126</f>
        <v>171.42857142857142</v>
      </c>
      <c r="K121" s="83">
        <f>FEEDVAL!J126</f>
        <v>114.2857142857143</v>
      </c>
      <c r="L121" s="83">
        <f>FEEDVAL!K126</f>
        <v>142.8571428571429</v>
      </c>
      <c r="M121" s="83">
        <f>FEEDVAL!L126</f>
        <v>171.42857142857142</v>
      </c>
    </row>
    <row r="122" spans="1:13" ht="12.75">
      <c r="A122" s="34"/>
      <c r="B122" s="78" t="str">
        <f>F11</f>
        <v>48% CP Soy Meal</v>
      </c>
      <c r="C122" s="35"/>
      <c r="D122" s="35"/>
      <c r="E122" s="84">
        <f>FEEDVAL!D127</f>
        <v>168</v>
      </c>
      <c r="F122" s="84">
        <f>FEEDVAL!E127</f>
        <v>168</v>
      </c>
      <c r="G122" s="84">
        <f>FEEDVAL!F127</f>
        <v>168</v>
      </c>
      <c r="H122" s="84">
        <f>FEEDVAL!G127</f>
        <v>210</v>
      </c>
      <c r="I122" s="84">
        <f>FEEDVAL!H127</f>
        <v>210</v>
      </c>
      <c r="J122" s="84">
        <f>FEEDVAL!I127</f>
        <v>210</v>
      </c>
      <c r="K122" s="84">
        <f>FEEDVAL!J127</f>
        <v>251.7759592042462</v>
      </c>
      <c r="L122" s="84">
        <f>FEEDVAL!K127</f>
        <v>251.95354008733065</v>
      </c>
      <c r="M122" s="84">
        <f>FEEDVAL!L127</f>
        <v>252.13112097041517</v>
      </c>
    </row>
    <row r="123" spans="5:7" ht="13.5" customHeight="1">
      <c r="E123" s="10"/>
      <c r="G123" s="5" t="s">
        <v>132</v>
      </c>
    </row>
    <row r="124" spans="2:13" ht="12.75">
      <c r="B124" s="128" t="str">
        <f>FEEDVAL!B129</f>
        <v>Barley</v>
      </c>
      <c r="C124" s="128"/>
      <c r="E124" s="132">
        <f>IF(FEEDVAL!D129&gt;0,FEEDVAL!D129,"")</f>
        <v>118.55794792616338</v>
      </c>
      <c r="F124" s="132">
        <f>IF(FEEDVAL!E129&gt;0,FEEDVAL!E129,"")</f>
        <v>148.0477895899621</v>
      </c>
      <c r="G124" s="132">
        <f>IF(FEEDVAL!F129&gt;0,FEEDVAL!F129,"")</f>
        <v>169.0258075106405</v>
      </c>
      <c r="H124" s="132">
        <f>IF(FEEDVAL!G129&gt;0,FEEDVAL!G129,"")</f>
        <v>122.81385979772358</v>
      </c>
      <c r="I124" s="132">
        <f>IF(FEEDVAL!H129&gt;0,FEEDVAL!H129,"")</f>
        <v>148.0477895899621</v>
      </c>
      <c r="J124" s="132">
        <f>IF(FEEDVAL!I129&gt;0,FEEDVAL!I129,"")</f>
        <v>173.28171938220066</v>
      </c>
      <c r="K124" s="132">
        <f>IF(FEEDVAL!J129&gt;0,FEEDVAL!J129,"")</f>
        <v>127.06977166928375</v>
      </c>
      <c r="L124" s="132">
        <f>IF(FEEDVAL!K129&gt;0,FEEDVAL!K129,"")</f>
        <v>152.30370146152228</v>
      </c>
      <c r="M124" s="132">
        <f>IF(FEEDVAL!L129&gt;0,FEEDVAL!L129,"")</f>
        <v>177.53763125376088</v>
      </c>
    </row>
    <row r="125" spans="2:13" ht="12.75">
      <c r="B125" s="128" t="str">
        <f>FEEDVAL!B130</f>
        <v>Beans, Navy</v>
      </c>
      <c r="C125" s="128"/>
      <c r="E125" s="132">
        <f>IF(FEEDVAL!D130&gt;0,FEEDVAL!D130,"")</f>
        <v>134.38279262650784</v>
      </c>
      <c r="F125" s="132">
        <f>IF(FEEDVAL!E130&gt;0,FEEDVAL!E130,"")</f>
        <v>167.51886436003184</v>
      </c>
      <c r="G125" s="132">
        <f>IF(FEEDVAL!F130&gt;0,FEEDVAL!F130,"")</f>
        <v>169.89398517670688</v>
      </c>
      <c r="H125" s="132">
        <f>IF(FEEDVAL!G130&gt;0,FEEDVAL!G130,"")</f>
        <v>149.76326808493232</v>
      </c>
      <c r="I125" s="132">
        <f>IF(FEEDVAL!H130&gt;0,FEEDVAL!H130,"")</f>
        <v>167.51886436003184</v>
      </c>
      <c r="J125" s="132">
        <f>IF(FEEDVAL!I130&gt;0,FEEDVAL!I130,"")</f>
        <v>185.27446063513136</v>
      </c>
      <c r="K125" s="132">
        <f>IF(FEEDVAL!J130&gt;0,FEEDVAL!J130,"")</f>
        <v>165.1437435433568</v>
      </c>
      <c r="L125" s="132">
        <f>IF(FEEDVAL!K130&gt;0,FEEDVAL!K130,"")</f>
        <v>182.8993398184563</v>
      </c>
      <c r="M125" s="132">
        <f>IF(FEEDVAL!L130&gt;0,FEEDVAL!L130,"")</f>
        <v>200.65493609355585</v>
      </c>
    </row>
    <row r="126" spans="2:13" ht="12.75">
      <c r="B126" s="128" t="str">
        <f>FEEDVAL!B131</f>
        <v>Corn,Shelled 15% Moist</v>
      </c>
      <c r="C126" s="128"/>
      <c r="E126" s="132">
        <f>IF(FEEDVAL!D131&gt;0,FEEDVAL!D131,"")</f>
        <v>114.47584858154362</v>
      </c>
      <c r="F126" s="132">
        <f>IF(FEEDVAL!E131&gt;0,FEEDVAL!E131,"")</f>
        <v>143.10172451536926</v>
      </c>
      <c r="G126" s="132">
        <f>IF(FEEDVAL!F131&gt;0,FEEDVAL!F131,"")</f>
        <v>171.363726721678</v>
      </c>
      <c r="H126" s="132">
        <f>IF(FEEDVAL!G131&gt;0,FEEDVAL!G131,"")</f>
        <v>114.65778544530205</v>
      </c>
      <c r="I126" s="132">
        <f>IF(FEEDVAL!H131&gt;0,FEEDVAL!H131,"")</f>
        <v>143.10172451536926</v>
      </c>
      <c r="J126" s="132">
        <f>IF(FEEDVAL!I131&gt;0,FEEDVAL!I131,"")</f>
        <v>171.54566358543644</v>
      </c>
      <c r="K126" s="132">
        <f>IF(FEEDVAL!J131&gt;0,FEEDVAL!J131,"")</f>
        <v>114.83972230906048</v>
      </c>
      <c r="L126" s="132">
        <f>IF(FEEDVAL!K131&gt;0,FEEDVAL!K131,"")</f>
        <v>143.28366137912766</v>
      </c>
      <c r="M126" s="132">
        <f>IF(FEEDVAL!L131&gt;0,FEEDVAL!L131,"")</f>
        <v>171.72760044919494</v>
      </c>
    </row>
    <row r="127" spans="2:13" ht="12.75">
      <c r="B127" s="128" t="str">
        <f>FEEDVAL!B132</f>
        <v>Corn, H.M. Shelled</v>
      </c>
      <c r="C127" s="128"/>
      <c r="E127" s="132">
        <f>IF(FEEDVAL!D132&gt;0,FEEDVAL!D132,"")</f>
        <v>94.27422824362417</v>
      </c>
      <c r="F127" s="132">
        <f>IF(FEEDVAL!E132&gt;0,FEEDVAL!E132,"")</f>
        <v>117.84847901265701</v>
      </c>
      <c r="G127" s="132">
        <f>IF(FEEDVAL!F132&gt;0,FEEDVAL!F132,"")</f>
        <v>141.12306906491133</v>
      </c>
      <c r="H127" s="132">
        <f>IF(FEEDVAL!G132&gt;0,FEEDVAL!G132,"")</f>
        <v>94.42405860201347</v>
      </c>
      <c r="I127" s="132">
        <f>IF(FEEDVAL!H132&gt;0,FEEDVAL!H132,"")</f>
        <v>117.84847901265704</v>
      </c>
      <c r="J127" s="132">
        <f>IF(FEEDVAL!I132&gt;0,FEEDVAL!I132,"")</f>
        <v>141.2728994233006</v>
      </c>
      <c r="K127" s="132">
        <f>IF(FEEDVAL!J132&gt;0,FEEDVAL!J132,"")</f>
        <v>94.57388896040275</v>
      </c>
      <c r="L127" s="132">
        <f>IF(FEEDVAL!K132&gt;0,FEEDVAL!K132,"")</f>
        <v>117.99830937104633</v>
      </c>
      <c r="M127" s="132">
        <f>IF(FEEDVAL!L132&gt;0,FEEDVAL!L132,"")</f>
        <v>141.42272978168995</v>
      </c>
    </row>
    <row r="128" spans="2:13" ht="12.75">
      <c r="B128" s="128" t="str">
        <f>FEEDVAL!B133</f>
        <v>Corn Cobs, Ground</v>
      </c>
      <c r="C128" s="128"/>
      <c r="E128" s="132">
        <f>IF(FEEDVAL!D133&gt;0,FEEDVAL!D133,"")</f>
        <v>66.00408828188841</v>
      </c>
      <c r="F128" s="132">
        <f>IF(FEEDVAL!E133&gt;0,FEEDVAL!E133,"")</f>
        <v>82.41974586007764</v>
      </c>
      <c r="G128" s="132">
        <f>IF(FEEDVAL!F133&gt;0,FEEDVAL!F133,"")</f>
        <v>104.00163202948261</v>
      </c>
      <c r="H128" s="132">
        <f>IF(FEEDVAL!G133&gt;0,FEEDVAL!G133,"")</f>
        <v>63.42097398628054</v>
      </c>
      <c r="I128" s="132">
        <f>IF(FEEDVAL!H133&gt;0,FEEDVAL!H133,"")</f>
        <v>82.41974586007764</v>
      </c>
      <c r="J128" s="132">
        <f>IF(FEEDVAL!I133&gt;0,FEEDVAL!I133,"")</f>
        <v>101.41851773387475</v>
      </c>
      <c r="K128" s="132">
        <f>IF(FEEDVAL!J133&gt;0,FEEDVAL!J133,"")</f>
        <v>60.83785969067267</v>
      </c>
      <c r="L128" s="132">
        <f>IF(FEEDVAL!K133&gt;0,FEEDVAL!K133,"")</f>
        <v>79.83663156446978</v>
      </c>
      <c r="M128" s="132">
        <f>IF(FEEDVAL!L133&gt;0,FEEDVAL!L133,"")</f>
        <v>98.8354034382669</v>
      </c>
    </row>
    <row r="129" spans="2:13" ht="12.75">
      <c r="B129" s="128" t="str">
        <f>FEEDVAL!B134</f>
        <v>Ear Corn, 15% Moisture</v>
      </c>
      <c r="C129" s="128"/>
      <c r="E129" s="132">
        <f>IF(FEEDVAL!D134&gt;0,FEEDVAL!D134,"")</f>
        <v>108.57038676233066</v>
      </c>
      <c r="F129" s="132">
        <f>IF(FEEDVAL!E134&gt;0,FEEDVAL!E134,"")</f>
        <v>135.776292272116</v>
      </c>
      <c r="G129" s="132">
        <f>IF(FEEDVAL!F134&gt;0,FEEDVAL!F134,"")</f>
        <v>163.42877008385392</v>
      </c>
      <c r="H129" s="132">
        <f>IF(FEEDVAL!G134&gt;0,FEEDVAL!G134,"")</f>
        <v>108.3471006113544</v>
      </c>
      <c r="I129" s="132">
        <f>IF(FEEDVAL!H134&gt;0,FEEDVAL!H134,"")</f>
        <v>135.77629227211602</v>
      </c>
      <c r="J129" s="132">
        <f>IF(FEEDVAL!I134&gt;0,FEEDVAL!I134,"")</f>
        <v>163.20548393287763</v>
      </c>
      <c r="K129" s="132">
        <f>IF(FEEDVAL!J134&gt;0,FEEDVAL!J134,"")</f>
        <v>108.12381446037811</v>
      </c>
      <c r="L129" s="132">
        <f>IF(FEEDVAL!K134&gt;0,FEEDVAL!K134,"")</f>
        <v>135.55300612113973</v>
      </c>
      <c r="M129" s="132">
        <f>IF(FEEDVAL!L134&gt;0,FEEDVAL!L134,"")</f>
        <v>162.9821977819014</v>
      </c>
    </row>
    <row r="130" spans="2:13" ht="12.75">
      <c r="B130" s="128" t="str">
        <f>FEEDVAL!B135</f>
        <v>Ear Corn, High Moist. </v>
      </c>
      <c r="C130" s="128"/>
      <c r="E130" s="132">
        <f>IF(FEEDVAL!D135&gt;0,FEEDVAL!D135,"")</f>
        <v>83.02441340648815</v>
      </c>
      <c r="F130" s="132">
        <f>IF(FEEDVAL!E135&gt;0,FEEDVAL!E135,"")</f>
        <v>103.8289293845593</v>
      </c>
      <c r="G130" s="132">
        <f>IF(FEEDVAL!F135&gt;0,FEEDVAL!F135,"")</f>
        <v>124.97494182882949</v>
      </c>
      <c r="H130" s="132">
        <f>IF(FEEDVAL!G135&gt;0,FEEDVAL!G135,"")</f>
        <v>82.85366517338866</v>
      </c>
      <c r="I130" s="132">
        <f>IF(FEEDVAL!H135&gt;0,FEEDVAL!H135,"")</f>
        <v>103.82892938455932</v>
      </c>
      <c r="J130" s="132">
        <f>IF(FEEDVAL!I135&gt;0,FEEDVAL!I135,"")</f>
        <v>124.80419359572997</v>
      </c>
      <c r="K130" s="132">
        <f>IF(FEEDVAL!J135&gt;0,FEEDVAL!J135,"")</f>
        <v>82.68291694028916</v>
      </c>
      <c r="L130" s="132">
        <f>IF(FEEDVAL!K135&gt;0,FEEDVAL!K135,"")</f>
        <v>103.6581811514598</v>
      </c>
      <c r="M130" s="132">
        <f>IF(FEEDVAL!L135&gt;0,FEEDVAL!L135,"")</f>
        <v>124.63344536263048</v>
      </c>
    </row>
    <row r="131" spans="2:13" ht="12.75">
      <c r="B131" s="128" t="str">
        <f>FEEDVAL!B136</f>
        <v>Canola Meal</v>
      </c>
      <c r="C131" s="128"/>
      <c r="E131" s="132">
        <f>IF(FEEDVAL!D136&gt;0,FEEDVAL!D136,"")</f>
        <v>145.03984981729772</v>
      </c>
      <c r="F131" s="132">
        <f>IF(FEEDVAL!E136&gt;0,FEEDVAL!E136,"")</f>
        <v>179.39228655459047</v>
      </c>
      <c r="G131" s="132">
        <f>IF(FEEDVAL!F136&gt;0,FEEDVAL!F136,"")</f>
        <v>152.64604357441496</v>
      </c>
      <c r="H131" s="132">
        <f>IF(FEEDVAL!G136&gt;0,FEEDVAL!G136,"")</f>
        <v>175.5891896760319</v>
      </c>
      <c r="I131" s="132">
        <f>IF(FEEDVAL!H136&gt;0,FEEDVAL!H136,"")</f>
        <v>179.3922865545905</v>
      </c>
      <c r="J131" s="132">
        <f>IF(FEEDVAL!I136&gt;0,FEEDVAL!I136,"")</f>
        <v>183.19538343314912</v>
      </c>
      <c r="K131" s="132">
        <f>IF(FEEDVAL!J136&gt;0,FEEDVAL!J136,"")</f>
        <v>206.1385295347661</v>
      </c>
      <c r="L131" s="132">
        <f>IF(FEEDVAL!K136&gt;0,FEEDVAL!K136,"")</f>
        <v>209.9416264133247</v>
      </c>
      <c r="M131" s="132">
        <f>IF(FEEDVAL!L136&gt;0,FEEDVAL!L136,"")</f>
        <v>213.74472329188333</v>
      </c>
    </row>
    <row r="132" spans="2:13" ht="12.75">
      <c r="B132" s="128" t="str">
        <f>FEEDVAL!B137</f>
        <v>Fish Meal, 60% C.P.</v>
      </c>
      <c r="C132" s="128"/>
      <c r="E132" s="132">
        <f>IF(FEEDVAL!D137&gt;0,FEEDVAL!D137,"")</f>
        <v>212.6479576901754</v>
      </c>
      <c r="F132" s="132">
        <f>IF(FEEDVAL!E137&gt;0,FEEDVAL!E137,"")</f>
        <v>143.10172451536926</v>
      </c>
      <c r="G132" s="132">
        <f>IF(FEEDVAL!F137&gt;0,FEEDVAL!F137,"")</f>
        <v>179.92413490832752</v>
      </c>
      <c r="H132" s="132">
        <f>IF(FEEDVAL!G137&gt;0,FEEDVAL!G137,"")</f>
        <v>270.6005890512304</v>
      </c>
      <c r="I132" s="132">
        <f>IF(FEEDVAL!H137&gt;0,FEEDVAL!H137,"")</f>
        <v>254.2386776603064</v>
      </c>
      <c r="J132" s="132">
        <f>IF(FEEDVAL!I137&gt;0,FEEDVAL!I137,"")</f>
        <v>237.87676626938253</v>
      </c>
      <c r="K132" s="132">
        <f>IF(FEEDVAL!J137&gt;0,FEEDVAL!J137,"")</f>
        <v>328.5532204122853</v>
      </c>
      <c r="L132" s="132">
        <f>IF(FEEDVAL!K137&gt;0,FEEDVAL!K137,"")</f>
        <v>312.1913090213614</v>
      </c>
      <c r="M132" s="132">
        <f>IF(FEEDVAL!L137&gt;0,FEEDVAL!L137,"")</f>
        <v>295.8293976304375</v>
      </c>
    </row>
    <row r="133" spans="2:13" ht="12.75">
      <c r="B133" s="128" t="str">
        <f>FEEDVAL!B138</f>
        <v>Hominy Feed</v>
      </c>
      <c r="C133" s="128"/>
      <c r="E133" s="132">
        <f>IF(FEEDVAL!D138&gt;0,FEEDVAL!D138,"")</f>
        <v>117.5739828884157</v>
      </c>
      <c r="F133" s="132">
        <f>IF(FEEDVAL!E138&gt;0,FEEDVAL!E138,"")</f>
        <v>117.84847901265701</v>
      </c>
      <c r="G133" s="132">
        <f>IF(FEEDVAL!F138&gt;0,FEEDVAL!F138,"")</f>
        <v>177.74618499657444</v>
      </c>
      <c r="H133" s="132">
        <f>IF(FEEDVAL!G138&gt;0,FEEDVAL!G138,"")</f>
        <v>116.82969571849479</v>
      </c>
      <c r="I133" s="132">
        <f>IF(FEEDVAL!H138&gt;0,FEEDVAL!H138,"")</f>
        <v>146.91579677257417</v>
      </c>
      <c r="J133" s="132">
        <f>IF(FEEDVAL!I138&gt;0,FEEDVAL!I138,"")</f>
        <v>177.00189782665353</v>
      </c>
      <c r="K133" s="132">
        <f>IF(FEEDVAL!J138&gt;0,FEEDVAL!J138,"")</f>
        <v>116.08540854857385</v>
      </c>
      <c r="L133" s="132">
        <f>IF(FEEDVAL!K138&gt;0,FEEDVAL!K138,"")</f>
        <v>146.17150960265323</v>
      </c>
      <c r="M133" s="132">
        <f>IF(FEEDVAL!L138&gt;0,FEEDVAL!L138,"")</f>
        <v>176.25761065673262</v>
      </c>
    </row>
    <row r="134" spans="2:13" ht="12.75">
      <c r="B134" s="128" t="str">
        <f>FEEDVAL!B139</f>
        <v>Oats, Lightwt &lt;30 LB/Bu</v>
      </c>
      <c r="C134" s="128"/>
      <c r="E134" s="132">
        <f>IF(FEEDVAL!D139&gt;0,FEEDVAL!D139,"")</f>
        <v>103.12521195357931</v>
      </c>
      <c r="F134" s="132">
        <f>IF(FEEDVAL!E139&gt;0,FEEDVAL!E139,"")</f>
        <v>128.9775245655178</v>
      </c>
      <c r="G134" s="132">
        <f>IF(FEEDVAL!F139&gt;0,FEEDVAL!F139,"")</f>
        <v>147.4745286747085</v>
      </c>
      <c r="H134" s="132">
        <f>IF(FEEDVAL!G139&gt;0,FEEDVAL!G139,"")</f>
        <v>106.80286620495325</v>
      </c>
      <c r="I134" s="132">
        <f>IF(FEEDVAL!H139&gt;0,FEEDVAL!H139,"")</f>
        <v>128.9775245655178</v>
      </c>
      <c r="J134" s="132">
        <f>IF(FEEDVAL!I139&gt;0,FEEDVAL!I139,"")</f>
        <v>151.15218292608242</v>
      </c>
      <c r="K134" s="132">
        <f>IF(FEEDVAL!J139&gt;0,FEEDVAL!J139,"")</f>
        <v>110.48052045632714</v>
      </c>
      <c r="L134" s="132">
        <f>IF(FEEDVAL!K139&gt;0,FEEDVAL!K139,"")</f>
        <v>132.65517881689172</v>
      </c>
      <c r="M134" s="132">
        <f>IF(FEEDVAL!L139&gt;0,FEEDVAL!L139,"")</f>
        <v>154.82983717745637</v>
      </c>
    </row>
    <row r="135" spans="2:13" ht="12.75">
      <c r="B135" s="128" t="str">
        <f>FEEDVAL!B140</f>
        <v>Oats, 32-36 Lb/Bu</v>
      </c>
      <c r="C135" s="128"/>
      <c r="E135" s="132">
        <f>IF(FEEDVAL!D140&gt;0,FEEDVAL!D140,"")</f>
        <v>108.21721868948246</v>
      </c>
      <c r="F135" s="132">
        <f>IF(FEEDVAL!E140&gt;0,FEEDVAL!E140,"")</f>
        <v>135.15505676272116</v>
      </c>
      <c r="G135" s="132">
        <f>IF(FEEDVAL!F140&gt;0,FEEDVAL!F140,"")</f>
        <v>154.73272171118637</v>
      </c>
      <c r="H135" s="132">
        <f>IF(FEEDVAL!G140&gt;0,FEEDVAL!G140,"")</f>
        <v>111.89730525186917</v>
      </c>
      <c r="I135" s="132">
        <f>IF(FEEDVAL!H140&gt;0,FEEDVAL!H140,"")</f>
        <v>135.15505676272116</v>
      </c>
      <c r="J135" s="132">
        <f>IF(FEEDVAL!I140&gt;0,FEEDVAL!I140,"")</f>
        <v>158.41280827357306</v>
      </c>
      <c r="K135" s="132">
        <f>IF(FEEDVAL!J140&gt;0,FEEDVAL!J140,"")</f>
        <v>115.5773918142559</v>
      </c>
      <c r="L135" s="132">
        <f>IF(FEEDVAL!K140&gt;0,FEEDVAL!K140,"")</f>
        <v>138.83514332510785</v>
      </c>
      <c r="M135" s="132">
        <f>IF(FEEDVAL!L140&gt;0,FEEDVAL!L140,"")</f>
        <v>162.09289483595984</v>
      </c>
    </row>
    <row r="136" spans="2:13" ht="12.75">
      <c r="B136" s="128" t="str">
        <f>FEEDVAL!B141</f>
        <v>Oats, Over 36 Lb/Bu</v>
      </c>
      <c r="C136" s="128"/>
      <c r="E136" s="132">
        <f>IF(FEEDVAL!D141&gt;0,FEEDVAL!D141,"")</f>
        <v>114.11387111591989</v>
      </c>
      <c r="F136" s="132">
        <f>IF(FEEDVAL!E141&gt;0,FEEDVAL!E141,"")</f>
        <v>142.5955113420166</v>
      </c>
      <c r="G136" s="132">
        <f>IF(FEEDVAL!F141&gt;0,FEEDVAL!F141,"")</f>
        <v>162.4873965801424</v>
      </c>
      <c r="H136" s="132">
        <f>IF(FEEDVAL!G141&gt;0,FEEDVAL!G141,"")</f>
        <v>118.40874860990537</v>
      </c>
      <c r="I136" s="132">
        <f>IF(FEEDVAL!H141&gt;0,FEEDVAL!H141,"")</f>
        <v>142.5955113420166</v>
      </c>
      <c r="J136" s="132">
        <f>IF(FEEDVAL!I141&gt;0,FEEDVAL!I141,"")</f>
        <v>166.78227407412786</v>
      </c>
      <c r="K136" s="132">
        <f>IF(FEEDVAL!J141&gt;0,FEEDVAL!J141,"")</f>
        <v>122.70362610389083</v>
      </c>
      <c r="L136" s="132">
        <f>IF(FEEDVAL!K141&gt;0,FEEDVAL!K141,"")</f>
        <v>146.89038883600205</v>
      </c>
      <c r="M136" s="132">
        <f>IF(FEEDVAL!L141&gt;0,FEEDVAL!L141,"")</f>
        <v>171.0771515681133</v>
      </c>
    </row>
    <row r="137" spans="2:13" ht="12.75">
      <c r="B137" s="128" t="str">
        <f>FEEDVAL!B142</f>
        <v>Soy Hulls</v>
      </c>
      <c r="C137" s="128"/>
      <c r="E137" s="132">
        <f>IF(FEEDVAL!D142&gt;0,FEEDVAL!D142,"")</f>
        <v>113.2006197828227</v>
      </c>
      <c r="F137" s="132">
        <f>IF(FEEDVAL!E142&gt;0,FEEDVAL!E142,"")</f>
        <v>141.06316640803823</v>
      </c>
      <c r="G137" s="132">
        <f>IF(FEEDVAL!F142&gt;0,FEEDVAL!F142,"")</f>
        <v>161.92065731635108</v>
      </c>
      <c r="H137" s="132">
        <f>IF(FEEDVAL!G142&gt;0,FEEDVAL!G142,"")</f>
        <v>116.70314764127401</v>
      </c>
      <c r="I137" s="132">
        <f>IF(FEEDVAL!H142&gt;0,FEEDVAL!H142,"")</f>
        <v>141.06316640803823</v>
      </c>
      <c r="J137" s="132">
        <f>IF(FEEDVAL!I142&gt;0,FEEDVAL!I142,"")</f>
        <v>165.4231851748024</v>
      </c>
      <c r="K137" s="132">
        <f>IF(FEEDVAL!J142&gt;0,FEEDVAL!J142,"")</f>
        <v>120.20567549972537</v>
      </c>
      <c r="L137" s="132">
        <f>IF(FEEDVAL!K142&gt;0,FEEDVAL!K142,"")</f>
        <v>144.56569426648957</v>
      </c>
      <c r="M137" s="132">
        <f>IF(FEEDVAL!L142&gt;0,FEEDVAL!L142,"")</f>
        <v>168.92571303325377</v>
      </c>
    </row>
    <row r="138" spans="2:13" ht="12.75">
      <c r="B138" s="128" t="str">
        <f>FEEDVAL!B143</f>
        <v>Soybeans, Heat Treated</v>
      </c>
      <c r="C138" s="128"/>
      <c r="E138" s="132">
        <f>IF(FEEDVAL!D143&gt;0,FEEDVAL!D143,"")</f>
        <v>167.58623210042717</v>
      </c>
      <c r="F138" s="132">
        <f>IF(FEEDVAL!E143&gt;0,FEEDVAL!E143,"")</f>
        <v>209.30038741882464</v>
      </c>
      <c r="G138" s="132">
        <f>IF(FEEDVAL!F143&gt;0,FEEDVAL!F143,"")</f>
        <v>190.59749385798457</v>
      </c>
      <c r="H138" s="132">
        <f>IF(FEEDVAL!G143&gt;0,FEEDVAL!G143,"")</f>
        <v>197.79475654004594</v>
      </c>
      <c r="I138" s="132">
        <f>IF(FEEDVAL!H143&gt;0,FEEDVAL!H143,"")</f>
        <v>209.30038741882464</v>
      </c>
      <c r="J138" s="132">
        <f>IF(FEEDVAL!I143&gt;0,FEEDVAL!I143,"")</f>
        <v>220.80601829760337</v>
      </c>
      <c r="K138" s="132">
        <f>IF(FEEDVAL!J143&gt;0,FEEDVAL!J143,"")</f>
        <v>228.0032809796647</v>
      </c>
      <c r="L138" s="132">
        <f>IF(FEEDVAL!K143&gt;0,FEEDVAL!K143,"")</f>
        <v>239.50891185844344</v>
      </c>
      <c r="M138" s="132">
        <f>IF(FEEDVAL!L143&gt;0,FEEDVAL!L143,"")</f>
        <v>251.0145427372222</v>
      </c>
    </row>
    <row r="139" spans="2:13" ht="12.75">
      <c r="B139" s="128" t="str">
        <f>FEEDVAL!B144</f>
        <v>Soybean Meal, 44% CP</v>
      </c>
      <c r="C139" s="128"/>
      <c r="E139" s="132">
        <f>IF(FEEDVAL!D144&gt;0,FEEDVAL!D144,"")</f>
        <v>160.54839426357483</v>
      </c>
      <c r="F139" s="132">
        <f>IF(FEEDVAL!E144&gt;0,FEEDVAL!E144,"")</f>
        <v>200.3509815360388</v>
      </c>
      <c r="G139" s="132">
        <f>IF(FEEDVAL!F144&gt;0,FEEDVAL!F144,"")</f>
        <v>164.9932126637573</v>
      </c>
      <c r="H139" s="132">
        <f>IF(FEEDVAL!G144&gt;0,FEEDVAL!G144,"")</f>
        <v>198.12857233594758</v>
      </c>
      <c r="I139" s="132">
        <f>IF(FEEDVAL!H144&gt;0,FEEDVAL!H144,"")</f>
        <v>200.35098153603874</v>
      </c>
      <c r="J139" s="132">
        <f>IF(FEEDVAL!I144&gt;0,FEEDVAL!I144,"")</f>
        <v>202.57339073613</v>
      </c>
      <c r="K139" s="132">
        <f>IF(FEEDVAL!J144&gt;0,FEEDVAL!J144,"")</f>
        <v>235.70875040832027</v>
      </c>
      <c r="L139" s="132">
        <f>IF(FEEDVAL!K144&gt;0,FEEDVAL!K144,"")</f>
        <v>237.9311596084115</v>
      </c>
      <c r="M139" s="132">
        <f>IF(FEEDVAL!L144&gt;0,FEEDVAL!L144,"")</f>
        <v>240.15356880850268</v>
      </c>
    </row>
    <row r="140" spans="2:13" ht="12.75">
      <c r="B140" s="128" t="str">
        <f>FEEDVAL!B145</f>
        <v>Soybean Meal, 48% CP</v>
      </c>
      <c r="C140" s="128"/>
      <c r="E140" s="132">
        <f>IF(FEEDVAL!D145&gt;0,FEEDVAL!D145,"")</f>
        <v>161.82462124271308</v>
      </c>
      <c r="F140" s="132">
        <f>IF(FEEDVAL!E145&gt;0,FEEDVAL!E145,"")</f>
        <v>202.1012564490857</v>
      </c>
      <c r="G140" s="132">
        <f>IF(FEEDVAL!F145&gt;0,FEEDVAL!F145,"")</f>
        <v>157.23367714263784</v>
      </c>
      <c r="H140" s="132">
        <f>IF(FEEDVAL!G145&gt;0,FEEDVAL!G145,"")</f>
        <v>204.39672849912333</v>
      </c>
      <c r="I140" s="132">
        <f>IF(FEEDVAL!H145&gt;0,FEEDVAL!H145,"")</f>
        <v>202.1012564490857</v>
      </c>
      <c r="J140" s="132">
        <f>IF(FEEDVAL!I145&gt;0,FEEDVAL!I145,"")</f>
        <v>199.80578439904806</v>
      </c>
      <c r="K140" s="132">
        <f>IF(FEEDVAL!J145&gt;0,FEEDVAL!J145,"")</f>
        <v>246.96883575553355</v>
      </c>
      <c r="L140" s="132">
        <f>IF(FEEDVAL!K145&gt;0,FEEDVAL!K145,"")</f>
        <v>244.67336370549594</v>
      </c>
      <c r="M140" s="132">
        <f>IF(FEEDVAL!L145&gt;0,FEEDVAL!L145,"")</f>
        <v>242.3778916554583</v>
      </c>
    </row>
    <row r="141" spans="2:13" ht="12.75">
      <c r="B141" s="128" t="str">
        <f>FEEDVAL!B146</f>
        <v>Sunflower Meal 28% CP</v>
      </c>
      <c r="C141" s="128"/>
      <c r="E141" s="132">
        <f>IF(FEEDVAL!D146&gt;0,FEEDVAL!D146,"")</f>
        <v>116.93987945159897</v>
      </c>
      <c r="F141" s="132">
        <f>IF(FEEDVAL!E146&gt;0,FEEDVAL!E146,"")</f>
        <v>144.04381516319003</v>
      </c>
      <c r="G141" s="132">
        <f>IF(FEEDVAL!F146&gt;0,FEEDVAL!F146,"")</f>
        <v>124.65723922294869</v>
      </c>
      <c r="H141" s="132">
        <f>IF(FEEDVAL!G146&gt;0,FEEDVAL!G146,"")</f>
        <v>140.1851352775152</v>
      </c>
      <c r="I141" s="132">
        <f>IF(FEEDVAL!H146&gt;0,FEEDVAL!H146,"")</f>
        <v>144.04381516319006</v>
      </c>
      <c r="J141" s="132">
        <f>IF(FEEDVAL!I146&gt;0,FEEDVAL!I146,"")</f>
        <v>147.9024950488649</v>
      </c>
      <c r="K141" s="132">
        <f>IF(FEEDVAL!J146&gt;0,FEEDVAL!J146,"")</f>
        <v>163.43039110343142</v>
      </c>
      <c r="L141" s="132">
        <f>IF(FEEDVAL!K146&gt;0,FEEDVAL!K146,"")</f>
        <v>167.2890709891063</v>
      </c>
      <c r="M141" s="132">
        <f>IF(FEEDVAL!L146&gt;0,FEEDVAL!L146,"")</f>
        <v>171.1477508747811</v>
      </c>
    </row>
    <row r="142" spans="2:13" ht="12.75">
      <c r="B142" s="128" t="str">
        <f>FEEDVAL!B147</f>
        <v>Sunflower Meal 40% CP</v>
      </c>
      <c r="C142" s="128"/>
      <c r="E142" s="132">
        <f>IF(FEEDVAL!D147&gt;0,FEEDVAL!D147,"")</f>
        <v>135.51677667303832</v>
      </c>
      <c r="F142" s="132">
        <f>IF(FEEDVAL!E147&gt;0,FEEDVAL!E147,"")</f>
        <v>169.10087659539175</v>
      </c>
      <c r="G142" s="132">
        <f>IF(FEEDVAL!F147&gt;0,FEEDVAL!F147,"")</f>
        <v>131.14438562226883</v>
      </c>
      <c r="H142" s="132">
        <f>IF(FEEDVAL!G147&gt;0,FEEDVAL!G147,"")</f>
        <v>171.28707212077654</v>
      </c>
      <c r="I142" s="132">
        <f>IF(FEEDVAL!H147&gt;0,FEEDVAL!H147,"")</f>
        <v>169.10087659539178</v>
      </c>
      <c r="J142" s="132">
        <f>IF(FEEDVAL!I147&gt;0,FEEDVAL!I147,"")</f>
        <v>166.91468107000708</v>
      </c>
      <c r="K142" s="132">
        <f>IF(FEEDVAL!J147&gt;0,FEEDVAL!J147,"")</f>
        <v>207.0573675685148</v>
      </c>
      <c r="L142" s="132">
        <f>IF(FEEDVAL!K147&gt;0,FEEDVAL!K147,"")</f>
        <v>204.87117204313006</v>
      </c>
      <c r="M142" s="132">
        <f>IF(FEEDVAL!L147&gt;0,FEEDVAL!L147,"")</f>
        <v>202.6849765177453</v>
      </c>
    </row>
    <row r="143" spans="2:13" ht="12.75">
      <c r="B143" s="128" t="str">
        <f>FEEDVAL!B148</f>
        <v>Triticale</v>
      </c>
      <c r="C143" s="128"/>
      <c r="E143" s="132">
        <f>IF(FEEDVAL!D148&gt;0,FEEDVAL!D148,"")</f>
        <v>93.66028356425267</v>
      </c>
      <c r="F143" s="132">
        <f>IF(FEEDVAL!E148&gt;0,FEEDVAL!E148,"")</f>
        <v>116.85755858390354</v>
      </c>
      <c r="G143" s="132">
        <f>IF(FEEDVAL!F148&gt;0,FEEDVAL!F148,"")</f>
        <v>129.76615801935358</v>
      </c>
      <c r="H143" s="132">
        <f>IF(FEEDVAL!G148&gt;0,FEEDVAL!G148,"")</f>
        <v>98.80462135635308</v>
      </c>
      <c r="I143" s="132">
        <f>IF(FEEDVAL!H148&gt;0,FEEDVAL!H148,"")</f>
        <v>116.85755858390353</v>
      </c>
      <c r="J143" s="132">
        <f>IF(FEEDVAL!I148&gt;0,FEEDVAL!I148,"")</f>
        <v>134.910495811454</v>
      </c>
      <c r="K143" s="132">
        <f>IF(FEEDVAL!J148&gt;0,FEEDVAL!J148,"")</f>
        <v>103.94895914845351</v>
      </c>
      <c r="L143" s="132">
        <f>IF(FEEDVAL!K148&gt;0,FEEDVAL!K148,"")</f>
        <v>122.00189637600396</v>
      </c>
      <c r="M143" s="132">
        <f>IF(FEEDVAL!L148&gt;0,FEEDVAL!L148,"")</f>
        <v>140.05483360355444</v>
      </c>
    </row>
    <row r="144" spans="2:13" ht="12.75">
      <c r="B144" s="128" t="str">
        <f>FEEDVAL!B149</f>
        <v>Wheat, Grain</v>
      </c>
      <c r="C144" s="128"/>
      <c r="E144" s="132">
        <f>IF(FEEDVAL!D149&gt;0,FEEDVAL!D149,"")</f>
        <v>125.01162751307281</v>
      </c>
      <c r="F144" s="132">
        <f>IF(FEEDVAL!E149&gt;0,FEEDVAL!E149,"")</f>
        <v>155.3551658337459</v>
      </c>
      <c r="G144" s="132">
        <f>IF(FEEDVAL!F149&gt;0,FEEDVAL!F149,"")</f>
        <v>182.84122517656576</v>
      </c>
      <c r="H144" s="132">
        <f>IF(FEEDVAL!G149&gt;0,FEEDVAL!G149,"")</f>
        <v>126.44036700199943</v>
      </c>
      <c r="I144" s="132">
        <f>IF(FEEDVAL!H149&gt;0,FEEDVAL!H149,"")</f>
        <v>155.35516583374587</v>
      </c>
      <c r="J144" s="132">
        <f>IF(FEEDVAL!I149&gt;0,FEEDVAL!I149,"")</f>
        <v>184.26996466549235</v>
      </c>
      <c r="K144" s="132">
        <f>IF(FEEDVAL!J149&gt;0,FEEDVAL!J149,"")</f>
        <v>127.86910649092603</v>
      </c>
      <c r="L144" s="132">
        <f>IF(FEEDVAL!K149&gt;0,FEEDVAL!K149,"")</f>
        <v>156.7839053226725</v>
      </c>
      <c r="M144" s="132">
        <f>IF(FEEDVAL!L149&gt;0,FEEDVAL!L149,"")</f>
        <v>185.69870415441898</v>
      </c>
    </row>
    <row r="145" spans="2:13" ht="12.75">
      <c r="B145" s="128" t="str">
        <f>FEEDVAL!B150</f>
        <v>Wheat Bran</v>
      </c>
      <c r="C145" s="128"/>
      <c r="E145" s="132">
        <f>IF(FEEDVAL!D150&gt;0,FEEDVAL!D150,"")</f>
        <v>112.45787563494707</v>
      </c>
      <c r="F145" s="132">
        <f>IF(FEEDVAL!E150&gt;0,FEEDVAL!E150,"")</f>
        <v>138.89880514964014</v>
      </c>
      <c r="G145" s="132">
        <f>IF(FEEDVAL!F150&gt;0,FEEDVAL!F150,"")</f>
        <v>149.45577082625638</v>
      </c>
      <c r="H145" s="132">
        <f>IF(FEEDVAL!G150&gt;0,FEEDVAL!G150,"")</f>
        <v>120.39985755398551</v>
      </c>
      <c r="I145" s="132">
        <f>IF(FEEDVAL!H150&gt;0,FEEDVAL!H150,"")</f>
        <v>138.89880514964014</v>
      </c>
      <c r="J145" s="132">
        <f>IF(FEEDVAL!I150&gt;0,FEEDVAL!I150,"")</f>
        <v>157.39775274529475</v>
      </c>
      <c r="K145" s="132">
        <f>IF(FEEDVAL!J150&gt;0,FEEDVAL!J150,"")</f>
        <v>128.34183947302392</v>
      </c>
      <c r="L145" s="132">
        <f>IF(FEEDVAL!K150&gt;0,FEEDVAL!K150,"")</f>
        <v>146.8407870686786</v>
      </c>
      <c r="M145" s="132">
        <f>IF(FEEDVAL!L150&gt;0,FEEDVAL!L150,"")</f>
        <v>165.3397346643332</v>
      </c>
    </row>
    <row r="146" spans="2:13" ht="12.75">
      <c r="B146" s="128" t="str">
        <f>FEEDVAL!B151</f>
        <v>Wheat Middlings </v>
      </c>
      <c r="C146" s="128"/>
      <c r="E146" s="132">
        <f>IF(FEEDVAL!D151&gt;0,FEEDVAL!D151,"")</f>
        <v>130.72156155657956</v>
      </c>
      <c r="F146" s="132">
        <f>IF(FEEDVAL!E151&gt;0,FEEDVAL!E151,"")</f>
        <v>160.79152347743332</v>
      </c>
      <c r="G146" s="132">
        <f>IF(FEEDVAL!F151&gt;0,FEEDVAL!F151,"")</f>
        <v>173.69909889187542</v>
      </c>
      <c r="H146" s="132">
        <f>IF(FEEDVAL!G151&gt;0,FEEDVAL!G151,"")</f>
        <v>139.30275480978537</v>
      </c>
      <c r="I146" s="132">
        <f>IF(FEEDVAL!H151&gt;0,FEEDVAL!H151,"")</f>
        <v>160.79152347743326</v>
      </c>
      <c r="J146" s="132">
        <f>IF(FEEDVAL!I151&gt;0,FEEDVAL!I151,"")</f>
        <v>182.28029214508123</v>
      </c>
      <c r="K146" s="132">
        <f>IF(FEEDVAL!J151&gt;0,FEEDVAL!J151,"")</f>
        <v>147.88394806299118</v>
      </c>
      <c r="L146" s="132">
        <f>IF(FEEDVAL!K151&gt;0,FEEDVAL!K151,"")</f>
        <v>169.37271673063913</v>
      </c>
      <c r="M146" s="132">
        <f>IF(FEEDVAL!L151&gt;0,FEEDVAL!L151,"")</f>
        <v>190.86148539828704</v>
      </c>
    </row>
    <row r="147" spans="2:13" ht="12.75">
      <c r="B147" s="128" t="str">
        <f>FEEDVAL!B152</f>
        <v>Whey, 7% Solids</v>
      </c>
      <c r="C147" s="128"/>
      <c r="E147" s="132">
        <f>IF(FEEDVAL!D152&gt;0,FEEDVAL!D152,"")</f>
        <v>9.509003368307527</v>
      </c>
      <c r="F147" s="132">
        <f>IF(FEEDVAL!E152&gt;0,FEEDVAL!E152,"")</f>
        <v>11.709719581291784</v>
      </c>
      <c r="G147" s="132">
        <f>IF(FEEDVAL!F152&gt;0,FEEDVAL!F152,"")</f>
        <v>13.140852589821876</v>
      </c>
      <c r="H147" s="132">
        <f>IF(FEEDVAL!G152&gt;0,FEEDVAL!G152,"")</f>
        <v>9.893794970534614</v>
      </c>
      <c r="I147" s="132">
        <f>IF(FEEDVAL!H152&gt;0,FEEDVAL!H152,"")</f>
        <v>11.709719581291788</v>
      </c>
      <c r="J147" s="132">
        <f>IF(FEEDVAL!I152&gt;0,FEEDVAL!I152,"")</f>
        <v>13.525644192048961</v>
      </c>
      <c r="K147" s="132">
        <f>IF(FEEDVAL!J152&gt;0,FEEDVAL!J152,"")</f>
        <v>10.278586572761697</v>
      </c>
      <c r="L147" s="132">
        <f>IF(FEEDVAL!K152&gt;0,FEEDVAL!K152,"")</f>
        <v>12.094511183518872</v>
      </c>
      <c r="M147" s="132">
        <f>IF(FEEDVAL!L152&gt;0,FEEDVAL!L152,"")</f>
        <v>13.910435794276047</v>
      </c>
    </row>
    <row r="148" spans="2:13" ht="12.75">
      <c r="B148" s="128" t="str">
        <f>FEEDVAL!B153</f>
        <v>Milo</v>
      </c>
      <c r="C148" s="128"/>
      <c r="E148" s="132">
        <f>IF(FEEDVAL!D153&gt;0,FEEDVAL!D153,"")</f>
        <v>114.91261649109023</v>
      </c>
      <c r="F148" s="132">
        <f>IF(FEEDVAL!E153&gt;0,FEEDVAL!E153,"")</f>
        <v>143.5983334764737</v>
      </c>
      <c r="G148" s="132">
        <f>IF(FEEDVAL!F153&gt;0,FEEDVAL!F153,"")</f>
        <v>171.41814774129563</v>
      </c>
      <c r="H148" s="132">
        <f>IF(FEEDVAL!G153&gt;0,FEEDVAL!G153,"")</f>
        <v>115.34556785137103</v>
      </c>
      <c r="I148" s="132">
        <f>IF(FEEDVAL!H153&gt;0,FEEDVAL!H153,"")</f>
        <v>143.5983334764737</v>
      </c>
      <c r="J148" s="132">
        <f>IF(FEEDVAL!I153&gt;0,FEEDVAL!I153,"")</f>
        <v>171.85109910157638</v>
      </c>
      <c r="K148" s="132">
        <f>IF(FEEDVAL!J153&gt;0,FEEDVAL!J153,"")</f>
        <v>115.77851921165181</v>
      </c>
      <c r="L148" s="132">
        <f>IF(FEEDVAL!K153&gt;0,FEEDVAL!K153,"")</f>
        <v>144.0312848367545</v>
      </c>
      <c r="M148" s="132">
        <f>IF(FEEDVAL!L153&gt;0,FEEDVAL!L153,"")</f>
        <v>172.28405046185722</v>
      </c>
    </row>
    <row r="149" spans="2:13" ht="12.75">
      <c r="B149" s="128">
        <f>FEEDVAL!B154</f>
      </c>
      <c r="C149" s="128"/>
      <c r="E149" s="132">
        <f>IF(FEEDVAL!D154&gt;0,FEEDVAL!D154,"")</f>
      </c>
      <c r="F149" s="132">
        <f>IF(FEEDVAL!E154&gt;0,FEEDVAL!E154,"")</f>
      </c>
      <c r="G149" s="132">
        <f>IF(FEEDVAL!F154&gt;0,FEEDVAL!F154,"")</f>
      </c>
      <c r="H149" s="132">
        <f>IF(FEEDVAL!G154&gt;0,FEEDVAL!G154,"")</f>
      </c>
      <c r="I149" s="132">
        <f>IF(FEEDVAL!H154&gt;0,FEEDVAL!H154,"")</f>
      </c>
      <c r="J149" s="132">
        <f>IF(FEEDVAL!I154&gt;0,FEEDVAL!I154,"")</f>
      </c>
      <c r="K149" s="132">
        <f>IF(FEEDVAL!J154&gt;0,FEEDVAL!J154,"")</f>
      </c>
      <c r="L149" s="132">
        <f>IF(FEEDVAL!K154&gt;0,FEEDVAL!K154,"")</f>
      </c>
      <c r="M149" s="132">
        <f>IF(FEEDVAL!L154&gt;0,FEEDVAL!L154,"")</f>
      </c>
    </row>
    <row r="150" spans="2:13" ht="12.75">
      <c r="B150" s="128">
        <f>FEEDVAL!B155</f>
      </c>
      <c r="C150" s="128"/>
      <c r="E150" s="132">
        <f>IF(FEEDVAL!D155&gt;0,FEEDVAL!D155,"")</f>
      </c>
      <c r="F150" s="132">
        <f>IF(FEEDVAL!E155&gt;0,FEEDVAL!E155,"")</f>
      </c>
      <c r="G150" s="132">
        <f>IF(FEEDVAL!F155&gt;0,FEEDVAL!F155,"")</f>
      </c>
      <c r="H150" s="132">
        <f>IF(FEEDVAL!G155&gt;0,FEEDVAL!G155,"")</f>
      </c>
      <c r="I150" s="132">
        <f>IF(FEEDVAL!H155&gt;0,FEEDVAL!H155,"")</f>
      </c>
      <c r="J150" s="132">
        <f>IF(FEEDVAL!I155&gt;0,FEEDVAL!I155,"")</f>
      </c>
      <c r="K150" s="132">
        <f>IF(FEEDVAL!J155&gt;0,FEEDVAL!J155,"")</f>
      </c>
      <c r="L150" s="132">
        <f>IF(FEEDVAL!K155&gt;0,FEEDVAL!K155,"")</f>
      </c>
      <c r="M150" s="132">
        <f>IF(FEEDVAL!L155&gt;0,FEEDVAL!L155,"")</f>
      </c>
    </row>
    <row r="151" spans="2:13" ht="12.75">
      <c r="B151" s="128">
        <f>FEEDVAL!B156</f>
      </c>
      <c r="C151" s="128"/>
      <c r="E151" s="132">
        <f>IF(FEEDVAL!D156&gt;0,FEEDVAL!D156,"")</f>
      </c>
      <c r="F151" s="132">
        <f>IF(FEEDVAL!E156&gt;0,FEEDVAL!E156,"")</f>
      </c>
      <c r="G151" s="132">
        <f>IF(FEEDVAL!F156&gt;0,FEEDVAL!F156,"")</f>
      </c>
      <c r="H151" s="132">
        <f>IF(FEEDVAL!G156&gt;0,FEEDVAL!G156,"")</f>
      </c>
      <c r="I151" s="132">
        <f>IF(FEEDVAL!H156&gt;0,FEEDVAL!H156,"")</f>
      </c>
      <c r="J151" s="132">
        <f>IF(FEEDVAL!I156&gt;0,FEEDVAL!I156,"")</f>
      </c>
      <c r="K151" s="132">
        <f>IF(FEEDVAL!J156&gt;0,FEEDVAL!J156,"")</f>
      </c>
      <c r="L151" s="132">
        <f>IF(FEEDVAL!K156&gt;0,FEEDVAL!K156,"")</f>
      </c>
      <c r="M151" s="132">
        <f>IF(FEEDVAL!L156&gt;0,FEEDVAL!L156,"")</f>
      </c>
    </row>
    <row r="152" spans="2:13" ht="12.75">
      <c r="B152" s="128">
        <f>FEEDVAL!B157</f>
      </c>
      <c r="C152" s="128"/>
      <c r="E152" s="132">
        <f>IF(FEEDVAL!D157&gt;0,FEEDVAL!D157,"")</f>
      </c>
      <c r="F152" s="132">
        <f>IF(FEEDVAL!E157&gt;0,FEEDVAL!E157,"")</f>
      </c>
      <c r="G152" s="132">
        <f>IF(FEEDVAL!F157&gt;0,FEEDVAL!F157,"")</f>
      </c>
      <c r="H152" s="132">
        <f>IF(FEEDVAL!G157&gt;0,FEEDVAL!G157,"")</f>
      </c>
      <c r="I152" s="132">
        <f>IF(FEEDVAL!H157&gt;0,FEEDVAL!H157,"")</f>
      </c>
      <c r="J152" s="132">
        <f>IF(FEEDVAL!I157&gt;0,FEEDVAL!I157,"")</f>
      </c>
      <c r="K152" s="132">
        <f>IF(FEEDVAL!J157&gt;0,FEEDVAL!J157,"")</f>
      </c>
      <c r="L152" s="132">
        <f>IF(FEEDVAL!K157&gt;0,FEEDVAL!K157,"")</f>
      </c>
      <c r="M152" s="132">
        <f>IF(FEEDVAL!L157&gt;0,FEEDVAL!L157,"")</f>
      </c>
    </row>
    <row r="153" spans="2:13" ht="12.75">
      <c r="B153" s="128">
        <f>FEEDVAL!B158</f>
      </c>
      <c r="C153" s="128"/>
      <c r="E153" s="132">
        <f>IF(FEEDVAL!D158&gt;0,FEEDVAL!D158,"")</f>
      </c>
      <c r="F153" s="132">
        <f>IF(FEEDVAL!E158&gt;0,FEEDVAL!E158,"")</f>
      </c>
      <c r="G153" s="132">
        <f>IF(FEEDVAL!F158&gt;0,FEEDVAL!F158,"")</f>
      </c>
      <c r="H153" s="132">
        <f>IF(FEEDVAL!G158&gt;0,FEEDVAL!G158,"")</f>
      </c>
      <c r="I153" s="132">
        <f>IF(FEEDVAL!H158&gt;0,FEEDVAL!H158,"")</f>
      </c>
      <c r="J153" s="132">
        <f>IF(FEEDVAL!I158&gt;0,FEEDVAL!I158,"")</f>
      </c>
      <c r="K153" s="132">
        <f>IF(FEEDVAL!J158&gt;0,FEEDVAL!J158,"")</f>
      </c>
      <c r="L153" s="132">
        <f>IF(FEEDVAL!K158&gt;0,FEEDVAL!K158,"")</f>
      </c>
      <c r="M153" s="132">
        <f>IF(FEEDVAL!L158&gt;0,FEEDVAL!L158,"")</f>
      </c>
    </row>
    <row r="154" spans="2:13" ht="12.75">
      <c r="B154" s="128">
        <f>FEEDVAL!B159</f>
      </c>
      <c r="C154" s="128"/>
      <c r="E154" s="132">
        <f>IF(FEEDVAL!D159&gt;0,FEEDVAL!D159,"")</f>
      </c>
      <c r="F154" s="132">
        <f>IF(FEEDVAL!E159&gt;0,FEEDVAL!E159,"")</f>
      </c>
      <c r="G154" s="132">
        <f>IF(FEEDVAL!F159&gt;0,FEEDVAL!F159,"")</f>
      </c>
      <c r="H154" s="132">
        <f>IF(FEEDVAL!G159&gt;0,FEEDVAL!G159,"")</f>
      </c>
      <c r="I154" s="132">
        <f>IF(FEEDVAL!H159&gt;0,FEEDVAL!H159,"")</f>
      </c>
      <c r="J154" s="132">
        <f>IF(FEEDVAL!I159&gt;0,FEEDVAL!I159,"")</f>
      </c>
      <c r="K154" s="132">
        <f>IF(FEEDVAL!J159&gt;0,FEEDVAL!J159,"")</f>
      </c>
      <c r="L154" s="132">
        <f>IF(FEEDVAL!K159&gt;0,FEEDVAL!K159,"")</f>
      </c>
      <c r="M154" s="132">
        <f>IF(FEEDVAL!L159&gt;0,FEEDVAL!L159,"")</f>
      </c>
    </row>
    <row r="155" spans="2:13" ht="12.75">
      <c r="B155" s="128">
        <f>FEEDVAL!B160</f>
      </c>
      <c r="C155" s="128"/>
      <c r="E155" s="132">
        <f>IF(FEEDVAL!D160&gt;0,FEEDVAL!D160,"")</f>
      </c>
      <c r="F155" s="132">
        <f>IF(FEEDVAL!E160&gt;0,FEEDVAL!E160,"")</f>
      </c>
      <c r="G155" s="132">
        <f>IF(FEEDVAL!F160&gt;0,FEEDVAL!F160,"")</f>
      </c>
      <c r="H155" s="132">
        <f>IF(FEEDVAL!G160&gt;0,FEEDVAL!G160,"")</f>
      </c>
      <c r="I155" s="132">
        <f>IF(FEEDVAL!H160&gt;0,FEEDVAL!H160,"")</f>
      </c>
      <c r="J155" s="132">
        <f>IF(FEEDVAL!I160&gt;0,FEEDVAL!I160,"")</f>
      </c>
      <c r="K155" s="132">
        <f>IF(FEEDVAL!J160&gt;0,FEEDVAL!J160,"")</f>
      </c>
      <c r="L155" s="132">
        <f>IF(FEEDVAL!K160&gt;0,FEEDVAL!K160,"")</f>
      </c>
      <c r="M155" s="132">
        <f>IF(FEEDVAL!L160&gt;0,FEEDVAL!L160,"")</f>
      </c>
    </row>
    <row r="156" spans="2:13" ht="12.75">
      <c r="B156" s="128">
        <f>FEEDVAL!B161</f>
      </c>
      <c r="C156" s="128"/>
      <c r="E156" s="132">
        <f>IF(FEEDVAL!D161&gt;0,FEEDVAL!D161,"")</f>
      </c>
      <c r="F156" s="132">
        <f>IF(FEEDVAL!E161&gt;0,FEEDVAL!E161,"")</f>
      </c>
      <c r="G156" s="132">
        <f>IF(FEEDVAL!F161&gt;0,FEEDVAL!F161,"")</f>
      </c>
      <c r="H156" s="132">
        <f>IF(FEEDVAL!G161&gt;0,FEEDVAL!G161,"")</f>
      </c>
      <c r="I156" s="132">
        <f>IF(FEEDVAL!H161&gt;0,FEEDVAL!H161,"")</f>
      </c>
      <c r="J156" s="132">
        <f>IF(FEEDVAL!I161&gt;0,FEEDVAL!I161,"")</f>
      </c>
      <c r="K156" s="132">
        <f>IF(FEEDVAL!J161&gt;0,FEEDVAL!J161,"")</f>
      </c>
      <c r="L156" s="132">
        <f>IF(FEEDVAL!K161&gt;0,FEEDVAL!K161,"")</f>
      </c>
      <c r="M156" s="132">
        <f>IF(FEEDVAL!L161&gt;0,FEEDVAL!L161,"")</f>
      </c>
    </row>
    <row r="157" spans="2:13" ht="12.75">
      <c r="B157" s="128">
        <f>FEEDVAL!B162</f>
      </c>
      <c r="C157" s="128"/>
      <c r="E157" s="132">
        <f>IF(FEEDVAL!D162&gt;0,FEEDVAL!D162,"")</f>
      </c>
      <c r="F157" s="132">
        <f>IF(FEEDVAL!E162&gt;0,FEEDVAL!E162,"")</f>
      </c>
      <c r="G157" s="132">
        <f>IF(FEEDVAL!F162&gt;0,FEEDVAL!F162,"")</f>
      </c>
      <c r="H157" s="132">
        <f>IF(FEEDVAL!G162&gt;0,FEEDVAL!G162,"")</f>
      </c>
      <c r="I157" s="132">
        <f>IF(FEEDVAL!H162&gt;0,FEEDVAL!H162,"")</f>
      </c>
      <c r="J157" s="132">
        <f>IF(FEEDVAL!I162&gt;0,FEEDVAL!I162,"")</f>
      </c>
      <c r="K157" s="132">
        <f>IF(FEEDVAL!J162&gt;0,FEEDVAL!J162,"")</f>
      </c>
      <c r="L157" s="132">
        <f>IF(FEEDVAL!K162&gt;0,FEEDVAL!K162,"")</f>
      </c>
      <c r="M157" s="132">
        <f>IF(FEEDVAL!L162&gt;0,FEEDVAL!L162,"")</f>
      </c>
    </row>
    <row r="158" spans="2:13" ht="12.75">
      <c r="B158" s="128">
        <f>FEEDVAL!B163</f>
      </c>
      <c r="C158" s="128"/>
      <c r="E158" s="132">
        <f>IF(FEEDVAL!D163&gt;0,FEEDVAL!D163,"")</f>
      </c>
      <c r="F158" s="132">
        <f>IF(FEEDVAL!E163&gt;0,FEEDVAL!E163,"")</f>
      </c>
      <c r="G158" s="132">
        <f>IF(FEEDVAL!F163&gt;0,FEEDVAL!F163,"")</f>
      </c>
      <c r="H158" s="132">
        <f>IF(FEEDVAL!G163&gt;0,FEEDVAL!G163,"")</f>
      </c>
      <c r="I158" s="132">
        <f>IF(FEEDVAL!H163&gt;0,FEEDVAL!H163,"")</f>
      </c>
      <c r="J158" s="132">
        <f>IF(FEEDVAL!I163&gt;0,FEEDVAL!I163,"")</f>
      </c>
      <c r="K158" s="132">
        <f>IF(FEEDVAL!J163&gt;0,FEEDVAL!J163,"")</f>
      </c>
      <c r="L158" s="132">
        <f>IF(FEEDVAL!K163&gt;0,FEEDVAL!K163,"")</f>
      </c>
      <c r="M158" s="132">
        <f>IF(FEEDVAL!L163&gt;0,FEEDVAL!L163,"")</f>
      </c>
    </row>
    <row r="159" spans="2:13" ht="12.75">
      <c r="B159" s="128">
        <f>FEEDVAL!B164</f>
      </c>
      <c r="C159" s="128"/>
      <c r="E159" s="132">
        <f>IF(FEEDVAL!D164&gt;0,FEEDVAL!D164,"")</f>
      </c>
      <c r="F159" s="132">
        <f>IF(FEEDVAL!E164&gt;0,FEEDVAL!E164,"")</f>
      </c>
      <c r="G159" s="132">
        <f>IF(FEEDVAL!F164&gt;0,FEEDVAL!F164,"")</f>
      </c>
      <c r="H159" s="132">
        <f>IF(FEEDVAL!G164&gt;0,FEEDVAL!G164,"")</f>
      </c>
      <c r="I159" s="132">
        <f>IF(FEEDVAL!H164&gt;0,FEEDVAL!H164,"")</f>
      </c>
      <c r="J159" s="132">
        <f>IF(FEEDVAL!I164&gt;0,FEEDVAL!I164,"")</f>
      </c>
      <c r="K159" s="132">
        <f>IF(FEEDVAL!J164&gt;0,FEEDVAL!J164,"")</f>
      </c>
      <c r="L159" s="132">
        <f>IF(FEEDVAL!K164&gt;0,FEEDVAL!K164,"")</f>
      </c>
      <c r="M159" s="132">
        <f>IF(FEEDVAL!L164&gt;0,FEEDVAL!L164,"")</f>
      </c>
    </row>
    <row r="160" spans="2:13" ht="12.75">
      <c r="B160" s="128">
        <f>FEEDVAL!B165</f>
      </c>
      <c r="C160" s="128"/>
      <c r="E160" s="132">
        <f>IF(FEEDVAL!D165&gt;0,FEEDVAL!D165,"")</f>
      </c>
      <c r="F160" s="132">
        <f>IF(FEEDVAL!E165&gt;0,FEEDVAL!E165,"")</f>
      </c>
      <c r="G160" s="132">
        <f>IF(FEEDVAL!F165&gt;0,FEEDVAL!F165,"")</f>
      </c>
      <c r="H160" s="132">
        <f>IF(FEEDVAL!G165&gt;0,FEEDVAL!G165,"")</f>
      </c>
      <c r="I160" s="132">
        <f>IF(FEEDVAL!H165&gt;0,FEEDVAL!H165,"")</f>
      </c>
      <c r="J160" s="132">
        <f>IF(FEEDVAL!I165&gt;0,FEEDVAL!I165,"")</f>
      </c>
      <c r="K160" s="132">
        <f>IF(FEEDVAL!J165&gt;0,FEEDVAL!J165,"")</f>
      </c>
      <c r="L160" s="132">
        <f>IF(FEEDVAL!K165&gt;0,FEEDVAL!K165,"")</f>
      </c>
      <c r="M160" s="132">
        <f>IF(FEEDVAL!L165&gt;0,FEEDVAL!L165,"")</f>
      </c>
    </row>
    <row r="161" spans="2:13" ht="12.75">
      <c r="B161" s="128">
        <f>FEEDVAL!B166</f>
      </c>
      <c r="C161" s="128"/>
      <c r="E161" s="132">
        <f>IF(FEEDVAL!D166&gt;0,FEEDVAL!D166,"")</f>
      </c>
      <c r="F161" s="132">
        <f>IF(FEEDVAL!E166&gt;0,FEEDVAL!E166,"")</f>
      </c>
      <c r="G161" s="132">
        <f>IF(FEEDVAL!F166&gt;0,FEEDVAL!F166,"")</f>
      </c>
      <c r="H161" s="132">
        <f>IF(FEEDVAL!G166&gt;0,FEEDVAL!G166,"")</f>
      </c>
      <c r="I161" s="132">
        <f>IF(FEEDVAL!H166&gt;0,FEEDVAL!H166,"")</f>
      </c>
      <c r="J161" s="132">
        <f>IF(FEEDVAL!I166&gt;0,FEEDVAL!I166,"")</f>
      </c>
      <c r="K161" s="132">
        <f>IF(FEEDVAL!J166&gt;0,FEEDVAL!J166,"")</f>
      </c>
      <c r="L161" s="132">
        <f>IF(FEEDVAL!K166&gt;0,FEEDVAL!K166,"")</f>
      </c>
      <c r="M161" s="132">
        <f>IF(FEEDVAL!L166&gt;0,FEEDVAL!L166,"")</f>
      </c>
    </row>
    <row r="162" spans="2:13" ht="12.75">
      <c r="B162" s="128">
        <f>FEEDVAL!B167</f>
      </c>
      <c r="C162" s="128"/>
      <c r="E162" s="132">
        <f>IF(FEEDVAL!D167&gt;0,FEEDVAL!D167,"")</f>
      </c>
      <c r="F162" s="132">
        <f>IF(FEEDVAL!E167&gt;0,FEEDVAL!E167,"")</f>
      </c>
      <c r="G162" s="132">
        <f>IF(FEEDVAL!F167&gt;0,FEEDVAL!F167,"")</f>
      </c>
      <c r="H162" s="132">
        <f>IF(FEEDVAL!G167&gt;0,FEEDVAL!G167,"")</f>
      </c>
      <c r="I162" s="132">
        <f>IF(FEEDVAL!H167&gt;0,FEEDVAL!H167,"")</f>
      </c>
      <c r="J162" s="132">
        <f>IF(FEEDVAL!I167&gt;0,FEEDVAL!I167,"")</f>
      </c>
      <c r="K162" s="132">
        <f>IF(FEEDVAL!J167&gt;0,FEEDVAL!J167,"")</f>
      </c>
      <c r="L162" s="132">
        <f>IF(FEEDVAL!K167&gt;0,FEEDVAL!K167,"")</f>
      </c>
      <c r="M162" s="132">
        <f>IF(FEEDVAL!L167&gt;0,FEEDVAL!L167,"")</f>
      </c>
    </row>
    <row r="163" spans="2:13" ht="12.75">
      <c r="B163" s="128">
        <f>FEEDVAL!B168</f>
      </c>
      <c r="C163" s="128"/>
      <c r="E163" s="132">
        <f>IF(FEEDVAL!D168&gt;0,FEEDVAL!D168,"")</f>
      </c>
      <c r="F163" s="132">
        <f>IF(FEEDVAL!E168&gt;0,FEEDVAL!E168,"")</f>
      </c>
      <c r="G163" s="132">
        <f>IF(FEEDVAL!F168&gt;0,FEEDVAL!F168,"")</f>
      </c>
      <c r="H163" s="132">
        <f>IF(FEEDVAL!G168&gt;0,FEEDVAL!G168,"")</f>
      </c>
      <c r="I163" s="132">
        <f>IF(FEEDVAL!H168&gt;0,FEEDVAL!H168,"")</f>
      </c>
      <c r="J163" s="132">
        <f>IF(FEEDVAL!I168&gt;0,FEEDVAL!I168,"")</f>
      </c>
      <c r="K163" s="132">
        <f>IF(FEEDVAL!J168&gt;0,FEEDVAL!J168,"")</f>
      </c>
      <c r="L163" s="132">
        <f>IF(FEEDVAL!K168&gt;0,FEEDVAL!K168,"")</f>
      </c>
      <c r="M163" s="132">
        <f>IF(FEEDVAL!L168&gt;0,FEEDVAL!L168,"")</f>
      </c>
    </row>
    <row r="164" spans="2:14" ht="12.75">
      <c r="B164" s="128">
        <f>FEEDVAL!B169</f>
      </c>
      <c r="C164" s="128"/>
      <c r="E164" s="132">
        <f>IF(FEEDVAL!D169&gt;0,FEEDVAL!D169,"")</f>
      </c>
      <c r="F164" s="132">
        <f>IF(FEEDVAL!E169&gt;0,FEEDVAL!E169,"")</f>
      </c>
      <c r="G164" s="132">
        <f>IF(FEEDVAL!F169&gt;0,FEEDVAL!F169,"")</f>
      </c>
      <c r="H164" s="132">
        <f>IF(FEEDVAL!G169&gt;0,FEEDVAL!G169,"")</f>
      </c>
      <c r="I164" s="132">
        <f>IF(FEEDVAL!H169&gt;0,FEEDVAL!H169,"")</f>
      </c>
      <c r="J164" s="132">
        <f>IF(FEEDVAL!I169&gt;0,FEEDVAL!I169,"")</f>
      </c>
      <c r="K164" s="132">
        <f>IF(FEEDVAL!J169&gt;0,FEEDVAL!J169,"")</f>
      </c>
      <c r="L164" s="132">
        <f>IF(FEEDVAL!K169&gt;0,FEEDVAL!K169,"")</f>
      </c>
      <c r="M164" s="132">
        <f>IF(FEEDVAL!L169&gt;0,FEEDVAL!L169,"")</f>
      </c>
      <c r="N164" s="22"/>
    </row>
    <row r="165" spans="2:13" ht="12.75">
      <c r="B165" s="128">
        <f>FEEDVAL!B170</f>
      </c>
      <c r="C165" s="128"/>
      <c r="E165" s="132">
        <f>IF(FEEDVAL!D170&gt;0,FEEDVAL!D170,"")</f>
      </c>
      <c r="F165" s="132">
        <f>IF(FEEDVAL!E170&gt;0,FEEDVAL!E170,"")</f>
      </c>
      <c r="G165" s="132">
        <f>IF(FEEDVAL!F170&gt;0,FEEDVAL!F170,"")</f>
      </c>
      <c r="H165" s="132">
        <f>IF(FEEDVAL!G170&gt;0,FEEDVAL!G170,"")</f>
      </c>
      <c r="I165" s="132">
        <f>IF(FEEDVAL!H170&gt;0,FEEDVAL!H170,"")</f>
      </c>
      <c r="J165" s="132">
        <f>IF(FEEDVAL!I170&gt;0,FEEDVAL!I170,"")</f>
      </c>
      <c r="K165" s="132">
        <f>IF(FEEDVAL!J170&gt;0,FEEDVAL!J170,"")</f>
      </c>
      <c r="L165" s="132">
        <f>IF(FEEDVAL!K170&gt;0,FEEDVAL!K170,"")</f>
      </c>
      <c r="M165" s="132">
        <f>IF(FEEDVAL!L170&gt;0,FEEDVAL!L170,"")</f>
      </c>
    </row>
    <row r="166" spans="2:13" ht="12.75">
      <c r="B166" s="128">
        <f>FEEDVAL!B171</f>
      </c>
      <c r="C166" s="128"/>
      <c r="E166" s="132">
        <f>IF(FEEDVAL!D171&gt;0,FEEDVAL!D171,"")</f>
      </c>
      <c r="F166" s="132">
        <f>IF(FEEDVAL!E171&gt;0,FEEDVAL!E171,"")</f>
      </c>
      <c r="G166" s="132">
        <f>IF(FEEDVAL!F171&gt;0,FEEDVAL!F171,"")</f>
      </c>
      <c r="H166" s="132">
        <f>IF(FEEDVAL!G171&gt;0,FEEDVAL!G171,"")</f>
      </c>
      <c r="I166" s="132">
        <f>IF(FEEDVAL!H171&gt;0,FEEDVAL!H171,"")</f>
      </c>
      <c r="J166" s="132">
        <f>IF(FEEDVAL!I171&gt;0,FEEDVAL!I171,"")</f>
      </c>
      <c r="K166" s="132">
        <f>IF(FEEDVAL!J171&gt;0,FEEDVAL!J171,"")</f>
      </c>
      <c r="L166" s="132">
        <f>IF(FEEDVAL!K171&gt;0,FEEDVAL!K171,"")</f>
      </c>
      <c r="M166" s="132">
        <f>IF(FEEDVAL!L171&gt;0,FEEDVAL!L171,"")</f>
      </c>
    </row>
    <row r="167" spans="2:13" ht="12.75">
      <c r="B167" s="128">
        <f>FEEDVAL!B172</f>
      </c>
      <c r="C167" s="128"/>
      <c r="E167" s="132">
        <f>IF(FEEDVAL!D172&gt;0,FEEDVAL!D172,"")</f>
      </c>
      <c r="F167" s="132">
        <f>IF(FEEDVAL!E172&gt;0,FEEDVAL!E172,"")</f>
      </c>
      <c r="G167" s="132">
        <f>IF(FEEDVAL!F172&gt;0,FEEDVAL!F172,"")</f>
      </c>
      <c r="H167" s="132">
        <f>IF(FEEDVAL!G172&gt;0,FEEDVAL!G172,"")</f>
      </c>
      <c r="I167" s="132">
        <f>IF(FEEDVAL!H172&gt;0,FEEDVAL!H172,"")</f>
      </c>
      <c r="J167" s="132">
        <f>IF(FEEDVAL!I172&gt;0,FEEDVAL!I172,"")</f>
      </c>
      <c r="K167" s="132">
        <f>IF(FEEDVAL!J172&gt;0,FEEDVAL!J172,"")</f>
      </c>
      <c r="L167" s="132">
        <f>IF(FEEDVAL!K172&gt;0,FEEDVAL!K172,"")</f>
      </c>
      <c r="M167" s="132">
        <f>IF(FEEDVAL!L172&gt;0,FEEDVAL!L172,"")</f>
      </c>
    </row>
    <row r="168" spans="2:13" ht="12.75">
      <c r="B168" s="128">
        <f>FEEDVAL!B173</f>
      </c>
      <c r="C168" s="128"/>
      <c r="E168" s="132">
        <f>IF(FEEDVAL!D173&gt;0,FEEDVAL!D173,"")</f>
      </c>
      <c r="F168" s="132">
        <f>IF(FEEDVAL!E173&gt;0,FEEDVAL!E173,"")</f>
      </c>
      <c r="G168" s="132">
        <f>IF(FEEDVAL!F173&gt;0,FEEDVAL!F173,"")</f>
      </c>
      <c r="H168" s="132">
        <f>IF(FEEDVAL!G173&gt;0,FEEDVAL!G173,"")</f>
      </c>
      <c r="I168" s="132">
        <f>IF(FEEDVAL!H173&gt;0,FEEDVAL!H173,"")</f>
      </c>
      <c r="J168" s="132">
        <f>IF(FEEDVAL!I173&gt;0,FEEDVAL!I173,"")</f>
      </c>
      <c r="K168" s="132">
        <f>IF(FEEDVAL!J173&gt;0,FEEDVAL!J173,"")</f>
      </c>
      <c r="L168" s="132">
        <f>IF(FEEDVAL!K173&gt;0,FEEDVAL!K173,"")</f>
      </c>
      <c r="M168" s="132">
        <f>IF(FEEDVAL!L173&gt;0,FEEDVAL!L173,"")</f>
      </c>
    </row>
  </sheetData>
  <mergeCells count="2">
    <mergeCell ref="C5:D5"/>
    <mergeCell ref="H120:I120"/>
  </mergeCells>
  <printOptions/>
  <pageMargins left="0.25" right="0.25" top="0.5" bottom="1" header="0.5" footer="0.5"/>
  <pageSetup fitToHeight="3" horizontalDpi="600" verticalDpi="600" orientation="portrait" scale="90" r:id="rId1"/>
  <rowBreaks count="2" manualBreakCount="2">
    <brk id="64" max="13" man="1"/>
    <brk id="118" max="13" man="1"/>
  </rowBreaks>
  <ignoredErrors>
    <ignoredError sqref="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W.T. Howard</dc:creator>
  <cp:keywords/>
  <dc:description/>
  <cp:lastModifiedBy>Jacob Schuelke</cp:lastModifiedBy>
  <cp:lastPrinted>2005-11-08T16:12:11Z</cp:lastPrinted>
  <dcterms:created xsi:type="dcterms:W3CDTF">1999-03-16T13:38:24Z</dcterms:created>
  <dcterms:modified xsi:type="dcterms:W3CDTF">2007-01-19T22:29:16Z</dcterms:modified>
  <cp:category/>
  <cp:version/>
  <cp:contentType/>
  <cp:contentStatus/>
</cp:coreProperties>
</file>